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-15" yWindow="0" windowWidth="2175" windowHeight="0" tabRatio="842" firstSheet="36" activeTab="39"/>
  </bookViews>
  <sheets>
    <sheet name="UNI1" sheetId="153" r:id="rId1"/>
    <sheet name="UNI1-зебра" sheetId="152" r:id="rId2"/>
    <sheet name="UNI2" sheetId="154" r:id="rId3"/>
    <sheet name="UNI2-зебра" sheetId="155" r:id="rId4"/>
    <sheet name="MINI" sheetId="8" r:id="rId5"/>
    <sheet name="Ролла кассета 1" sheetId="157" r:id="rId6"/>
    <sheet name="Ролла кассета 2" sheetId="158" r:id="rId7"/>
    <sheet name="Ролла кассета 1 Зебра" sheetId="159" r:id="rId8"/>
    <sheet name="Ролла кассета 2 Зебра" sheetId="160" r:id="rId9"/>
    <sheet name="MINI-зебра из" sheetId="156" r:id="rId10"/>
    <sheet name="Holis, Волна" sheetId="9" r:id="rId11"/>
    <sheet name="1&quot;" sheetId="10" r:id="rId12"/>
    <sheet name="Классика LVT" sheetId="48" r:id="rId13"/>
    <sheet name="Кассета LVT" sheetId="56" r:id="rId14"/>
    <sheet name="Зебра LVT" sheetId="94" r:id="rId15"/>
    <sheet name="Зебра кассета LVT" sheetId="100" r:id="rId16"/>
    <sheet name="День-Ночь 45мм" sheetId="103" r:id="rId17"/>
    <sheet name="Классика DoubleLVT" sheetId="109" r:id="rId18"/>
    <sheet name="Классика Mono LVT" sheetId="113" r:id="rId19"/>
    <sheet name="P190x" sheetId="115" r:id="rId20"/>
    <sheet name="P390x" sheetId="116" r:id="rId21"/>
    <sheet name="P890x" sheetId="121" r:id="rId22"/>
    <sheet name="P891x" sheetId="122" r:id="rId23"/>
    <sheet name="Карнизы шторные" sheetId="118" r:id="rId24"/>
    <sheet name="Карнизы шторные Glydea" sheetId="120" r:id="rId25"/>
    <sheet name="Римские шторы" sheetId="119" r:id="rId26"/>
    <sheet name="Классикa Benthin M " sheetId="125" r:id="rId27"/>
    <sheet name="Зебра Benthin M" sheetId="126" r:id="rId28"/>
    <sheet name="Зебра кассета Benthin М" sheetId="127" r:id="rId29"/>
    <sheet name="Кассета Benthin M " sheetId="128" r:id="rId30"/>
    <sheet name="Классика Benthin L" sheetId="129" r:id="rId31"/>
    <sheet name="Зебра Benthin L" sheetId="130" r:id="rId32"/>
    <sheet name="Кассета Вenthin L" sheetId="131" r:id="rId33"/>
    <sheet name="Классика Моно Benthin М" sheetId="132" r:id="rId34"/>
    <sheet name="Кассета Моно Benthin M" sheetId="133" r:id="rId35"/>
    <sheet name="Классика Моно Benthin L" sheetId="134" r:id="rId36"/>
    <sheet name="Кассета Моно Benthin L" sheetId="143" r:id="rId37"/>
    <sheet name="Моно Зебра Benthin M" sheetId="144" r:id="rId38"/>
    <sheet name="Кассета Моно Зебра Benthin M" sheetId="145" r:id="rId39"/>
    <sheet name="Моно Зебра Benthin L" sheetId="146" r:id="rId40"/>
    <sheet name="Классика Double Benthin L" sheetId="148" r:id="rId41"/>
    <sheet name="Зебра Double Benthin L" sheetId="149" r:id="rId42"/>
    <sheet name="Кассета Double Benthin L" sheetId="150" r:id="rId43"/>
  </sheets>
  <calcPr calcId="162913"/>
</workbook>
</file>

<file path=xl/calcChain.xml><?xml version="1.0" encoding="utf-8"?>
<calcChain xmlns="http://schemas.openxmlformats.org/spreadsheetml/2006/main">
  <c r="E38" i="143" l="1"/>
  <c r="C38" i="143"/>
  <c r="E74" i="134"/>
  <c r="C74" i="134"/>
  <c r="E31" i="145" l="1"/>
  <c r="C31" i="145"/>
  <c r="C32" i="145"/>
  <c r="E36" i="144"/>
  <c r="C36" i="144"/>
  <c r="C37" i="144"/>
  <c r="C39" i="128" l="1"/>
  <c r="C43" i="125"/>
  <c r="C42" i="125"/>
  <c r="C40" i="125"/>
  <c r="C39" i="125"/>
  <c r="C38" i="125"/>
  <c r="C37" i="125"/>
  <c r="C31" i="131"/>
  <c r="C53" i="131"/>
  <c r="C34" i="131"/>
  <c r="C33" i="131"/>
  <c r="C32" i="131"/>
  <c r="C40" i="133" l="1"/>
  <c r="E40" i="133"/>
  <c r="C41" i="133"/>
  <c r="C48" i="132"/>
  <c r="C50" i="132"/>
  <c r="C57" i="127" l="1"/>
  <c r="C25" i="127"/>
  <c r="C27" i="126" l="1"/>
  <c r="C26" i="126"/>
  <c r="E27" i="126"/>
  <c r="C35" i="125"/>
  <c r="E35" i="125" s="1"/>
  <c r="C36" i="125"/>
  <c r="C26" i="127" l="1"/>
  <c r="D36" i="160" l="1"/>
  <c r="C26" i="160"/>
  <c r="D26" i="160" s="1"/>
  <c r="C25" i="160"/>
  <c r="D25" i="160" s="1"/>
  <c r="C24" i="160"/>
  <c r="D24" i="160" s="1"/>
  <c r="C23" i="160"/>
  <c r="D23" i="160" s="1"/>
  <c r="C13" i="160"/>
  <c r="D13" i="160" s="1"/>
  <c r="C27" i="160"/>
  <c r="D27" i="160" s="1"/>
  <c r="C36" i="160"/>
  <c r="C31" i="160"/>
  <c r="D31" i="160" s="1"/>
  <c r="C22" i="160"/>
  <c r="D22" i="160" s="1"/>
  <c r="C21" i="160"/>
  <c r="D21" i="160" s="1"/>
  <c r="C20" i="160"/>
  <c r="D20" i="160" s="1"/>
  <c r="C19" i="160"/>
  <c r="D19" i="160" s="1"/>
  <c r="C18" i="160"/>
  <c r="D18" i="160" s="1"/>
  <c r="C17" i="160"/>
  <c r="D17" i="160" s="1"/>
  <c r="C16" i="160"/>
  <c r="D16" i="160" s="1"/>
  <c r="C15" i="160"/>
  <c r="D15" i="160" s="1"/>
  <c r="C14" i="160"/>
  <c r="D14" i="160" s="1"/>
  <c r="C12" i="160"/>
  <c r="D12" i="160" s="1"/>
  <c r="D36" i="159"/>
  <c r="C25" i="159"/>
  <c r="C24" i="159"/>
  <c r="C23" i="159"/>
  <c r="C22" i="159"/>
  <c r="C13" i="159"/>
  <c r="D13" i="159" s="1"/>
  <c r="C36" i="159"/>
  <c r="C31" i="159"/>
  <c r="D31" i="159" s="1"/>
  <c r="C30" i="159"/>
  <c r="D30" i="159" s="1"/>
  <c r="C29" i="159"/>
  <c r="D29" i="159" s="1"/>
  <c r="D25" i="159"/>
  <c r="D24" i="159"/>
  <c r="D23" i="159"/>
  <c r="D22" i="159"/>
  <c r="C21" i="159"/>
  <c r="D21" i="159" s="1"/>
  <c r="C20" i="159"/>
  <c r="D20" i="159" s="1"/>
  <c r="C19" i="159"/>
  <c r="D19" i="159" s="1"/>
  <c r="C18" i="159"/>
  <c r="D18" i="159" s="1"/>
  <c r="C17" i="159"/>
  <c r="D17" i="159" s="1"/>
  <c r="C16" i="159"/>
  <c r="D16" i="159" s="1"/>
  <c r="C15" i="159"/>
  <c r="D15" i="159" s="1"/>
  <c r="C14" i="159"/>
  <c r="D14" i="159" s="1"/>
  <c r="C12" i="159"/>
  <c r="D12" i="159" s="1"/>
  <c r="D37" i="158"/>
  <c r="D28" i="158"/>
  <c r="D27" i="158"/>
  <c r="D26" i="158"/>
  <c r="D25" i="158"/>
  <c r="C28" i="158"/>
  <c r="C27" i="158"/>
  <c r="C26" i="158"/>
  <c r="C25" i="158"/>
  <c r="C13" i="158"/>
  <c r="D13" i="158" s="1"/>
  <c r="C37" i="158"/>
  <c r="C32" i="158"/>
  <c r="D32" i="158" s="1"/>
  <c r="C24" i="158"/>
  <c r="D24" i="158" s="1"/>
  <c r="C23" i="158"/>
  <c r="D23" i="158" s="1"/>
  <c r="C22" i="158"/>
  <c r="D22" i="158" s="1"/>
  <c r="C21" i="158"/>
  <c r="D21" i="158" s="1"/>
  <c r="C20" i="158"/>
  <c r="D20" i="158" s="1"/>
  <c r="C19" i="158"/>
  <c r="D19" i="158" s="1"/>
  <c r="C18" i="158"/>
  <c r="D18" i="158" s="1"/>
  <c r="C17" i="158"/>
  <c r="D17" i="158" s="1"/>
  <c r="C16" i="158"/>
  <c r="D16" i="158" s="1"/>
  <c r="C15" i="158"/>
  <c r="D15" i="158" s="1"/>
  <c r="C14" i="158"/>
  <c r="D14" i="158" s="1"/>
  <c r="C12" i="158"/>
  <c r="D12" i="158" s="1"/>
  <c r="D39" i="157"/>
  <c r="D34" i="157"/>
  <c r="D38" i="157"/>
  <c r="D28" i="157"/>
  <c r="D25" i="157"/>
  <c r="D24" i="157"/>
  <c r="C27" i="157"/>
  <c r="C26" i="157"/>
  <c r="C25" i="157"/>
  <c r="C24" i="157"/>
  <c r="C14" i="157"/>
  <c r="C13" i="157" l="1"/>
  <c r="D13" i="157" s="1"/>
  <c r="C38" i="157"/>
  <c r="C33" i="157"/>
  <c r="D33" i="157" s="1"/>
  <c r="C32" i="157"/>
  <c r="D32" i="157" s="1"/>
  <c r="C31" i="157"/>
  <c r="D31" i="157" s="1"/>
  <c r="D27" i="157"/>
  <c r="D26" i="157"/>
  <c r="C23" i="157"/>
  <c r="D23" i="157" s="1"/>
  <c r="C22" i="157"/>
  <c r="D22" i="157" s="1"/>
  <c r="C21" i="157"/>
  <c r="D21" i="157" s="1"/>
  <c r="C20" i="157"/>
  <c r="D20" i="157" s="1"/>
  <c r="C19" i="157"/>
  <c r="D19" i="157" s="1"/>
  <c r="C18" i="157"/>
  <c r="D18" i="157" s="1"/>
  <c r="C17" i="157"/>
  <c r="D17" i="157" s="1"/>
  <c r="C16" i="157"/>
  <c r="D16" i="157" s="1"/>
  <c r="C15" i="157"/>
  <c r="D15" i="157" s="1"/>
  <c r="D14" i="157"/>
  <c r="C12" i="157"/>
  <c r="D12" i="157" s="1"/>
  <c r="B26" i="118" l="1"/>
  <c r="B25" i="118"/>
  <c r="B24" i="118"/>
  <c r="D24" i="118" s="1"/>
  <c r="B23" i="118"/>
  <c r="B20" i="118"/>
  <c r="B19" i="118"/>
  <c r="B17" i="118"/>
  <c r="B16" i="118"/>
  <c r="C62" i="150" l="1"/>
  <c r="C61" i="150"/>
  <c r="E61" i="150" s="1"/>
  <c r="E62" i="150"/>
  <c r="C42" i="149"/>
  <c r="E42" i="149" s="1"/>
  <c r="C41" i="149"/>
  <c r="E41" i="149" s="1"/>
  <c r="C60" i="148"/>
  <c r="E60" i="148" s="1"/>
  <c r="C59" i="148"/>
  <c r="E59" i="148" s="1"/>
  <c r="C59" i="146"/>
  <c r="C58" i="146"/>
  <c r="E59" i="146"/>
  <c r="E58" i="146"/>
  <c r="C54" i="145"/>
  <c r="C53" i="145"/>
  <c r="E53" i="145" s="1"/>
  <c r="C52" i="145"/>
  <c r="E52" i="145" s="1"/>
  <c r="E54" i="145"/>
  <c r="C57" i="144"/>
  <c r="E57" i="144" s="1"/>
  <c r="C56" i="144"/>
  <c r="C55" i="144"/>
  <c r="E55" i="144" s="1"/>
  <c r="E56" i="144"/>
  <c r="C67" i="143"/>
  <c r="C66" i="143"/>
  <c r="E66" i="143" s="1"/>
  <c r="E69" i="143" s="1"/>
  <c r="E67" i="143"/>
  <c r="C68" i="143"/>
  <c r="E68" i="143"/>
  <c r="C76" i="134"/>
  <c r="E76" i="134" s="1"/>
  <c r="C75" i="134"/>
  <c r="E75" i="134" s="1"/>
  <c r="C64" i="133"/>
  <c r="E64" i="133" s="1"/>
  <c r="C63" i="133"/>
  <c r="C62" i="133"/>
  <c r="E63" i="133"/>
  <c r="E62" i="133"/>
  <c r="C68" i="132"/>
  <c r="C67" i="132"/>
  <c r="E67" i="132" s="1"/>
  <c r="C66" i="132"/>
  <c r="E68" i="132"/>
  <c r="E66" i="132"/>
  <c r="C82" i="131"/>
  <c r="C81" i="131"/>
  <c r="E82" i="131"/>
  <c r="E81" i="131"/>
  <c r="C49" i="130"/>
  <c r="E49" i="130" s="1"/>
  <c r="C48" i="130"/>
  <c r="E48" i="130" s="1"/>
  <c r="C80" i="129"/>
  <c r="C79" i="129"/>
  <c r="E80" i="129"/>
  <c r="E79" i="129"/>
  <c r="C83" i="128"/>
  <c r="E83" i="128" s="1"/>
  <c r="C82" i="128"/>
  <c r="E82" i="128" s="1"/>
  <c r="C81" i="128"/>
  <c r="E81" i="128" s="1"/>
  <c r="C56" i="127"/>
  <c r="E56" i="127" s="1"/>
  <c r="C55" i="127"/>
  <c r="E55" i="127" s="1"/>
  <c r="C54" i="127"/>
  <c r="E54" i="127" s="1"/>
  <c r="C56" i="126"/>
  <c r="E56" i="126" s="1"/>
  <c r="C55" i="126"/>
  <c r="E55" i="126" s="1"/>
  <c r="C54" i="126"/>
  <c r="E54" i="126" s="1"/>
  <c r="C92" i="125" l="1"/>
  <c r="E92" i="125" s="1"/>
  <c r="C91" i="125"/>
  <c r="E91" i="125" s="1"/>
  <c r="C90" i="125"/>
  <c r="E90" i="125" s="1"/>
  <c r="C43" i="128" l="1"/>
  <c r="C38" i="128"/>
  <c r="C56" i="125" l="1"/>
  <c r="E43" i="125"/>
  <c r="E38" i="125"/>
  <c r="C30" i="149" l="1"/>
  <c r="C43" i="146"/>
  <c r="E43" i="146" s="1"/>
  <c r="C41" i="146"/>
  <c r="C44" i="146"/>
  <c r="E44" i="146"/>
  <c r="K19" i="150" l="1"/>
  <c r="K18" i="150"/>
  <c r="K16" i="150"/>
  <c r="K6" i="150"/>
  <c r="K5" i="150"/>
  <c r="K4" i="150"/>
  <c r="I19" i="150"/>
  <c r="I18" i="150"/>
  <c r="I14" i="150"/>
  <c r="K14" i="150" s="1"/>
  <c r="I13" i="150"/>
  <c r="K13" i="150" s="1"/>
  <c r="I15" i="150"/>
  <c r="K15" i="150" s="1"/>
  <c r="I17" i="150"/>
  <c r="K17" i="150" s="1"/>
  <c r="I16" i="150"/>
  <c r="I12" i="150"/>
  <c r="K12" i="150" s="1"/>
  <c r="I11" i="150"/>
  <c r="K11" i="150" s="1"/>
  <c r="I10" i="150"/>
  <c r="K10" i="150" s="1"/>
  <c r="I8" i="150"/>
  <c r="K8" i="150" s="1"/>
  <c r="I7" i="150"/>
  <c r="K7" i="150" s="1"/>
  <c r="I6" i="150"/>
  <c r="I5" i="150"/>
  <c r="I4" i="150"/>
  <c r="I9" i="150"/>
  <c r="K9" i="150" s="1"/>
  <c r="I3" i="150"/>
  <c r="K3" i="150" s="1"/>
  <c r="C57" i="150"/>
  <c r="E57" i="150" s="1"/>
  <c r="C56" i="150"/>
  <c r="E56" i="150" s="1"/>
  <c r="C55" i="150"/>
  <c r="C54" i="150"/>
  <c r="C53" i="150"/>
  <c r="C52" i="150"/>
  <c r="C51" i="150"/>
  <c r="C50" i="150"/>
  <c r="C49" i="150"/>
  <c r="C48" i="150"/>
  <c r="E48" i="150" s="1"/>
  <c r="C47" i="150"/>
  <c r="C46" i="150"/>
  <c r="C45" i="150"/>
  <c r="C44" i="150"/>
  <c r="C43" i="150"/>
  <c r="C42" i="150"/>
  <c r="C41" i="150"/>
  <c r="C40" i="150"/>
  <c r="C39" i="150"/>
  <c r="C38" i="150"/>
  <c r="C37" i="150"/>
  <c r="C36" i="150"/>
  <c r="E36" i="150"/>
  <c r="C35" i="150"/>
  <c r="C34" i="150"/>
  <c r="C33" i="150"/>
  <c r="C32" i="150"/>
  <c r="C31" i="150"/>
  <c r="C30" i="150"/>
  <c r="C29" i="150"/>
  <c r="C28" i="150"/>
  <c r="C27" i="150"/>
  <c r="C26" i="150"/>
  <c r="C25" i="150"/>
  <c r="C24" i="150"/>
  <c r="I15" i="149"/>
  <c r="K15" i="149" s="1"/>
  <c r="I14" i="149"/>
  <c r="K14" i="149" s="1"/>
  <c r="I13" i="149"/>
  <c r="K13" i="149" s="1"/>
  <c r="I11" i="149"/>
  <c r="K11" i="149" s="1"/>
  <c r="I12" i="149"/>
  <c r="K12" i="149" s="1"/>
  <c r="I10" i="149"/>
  <c r="K10" i="149" s="1"/>
  <c r="I4" i="149"/>
  <c r="K4" i="149" s="1"/>
  <c r="I8" i="149"/>
  <c r="K8" i="149" s="1"/>
  <c r="I7" i="149"/>
  <c r="K7" i="149" s="1"/>
  <c r="I6" i="149"/>
  <c r="K6" i="149" s="1"/>
  <c r="I5" i="149"/>
  <c r="K5" i="149" s="1"/>
  <c r="I9" i="149"/>
  <c r="K9" i="149" s="1"/>
  <c r="I3" i="149"/>
  <c r="K3" i="149" s="1"/>
  <c r="I14" i="148"/>
  <c r="I13" i="148"/>
  <c r="K13" i="148" s="1"/>
  <c r="I19" i="148"/>
  <c r="K19" i="148" s="1"/>
  <c r="I18" i="148"/>
  <c r="K18" i="148" s="1"/>
  <c r="I17" i="148"/>
  <c r="K17" i="148" s="1"/>
  <c r="I16" i="148"/>
  <c r="K16" i="148" s="1"/>
  <c r="I15" i="148"/>
  <c r="K15" i="148" s="1"/>
  <c r="K14" i="148"/>
  <c r="I12" i="148"/>
  <c r="K12" i="148" s="1"/>
  <c r="I11" i="148"/>
  <c r="K11" i="148" s="1"/>
  <c r="I10" i="148"/>
  <c r="K10" i="148" s="1"/>
  <c r="I9" i="148"/>
  <c r="K9" i="148" s="1"/>
  <c r="I7" i="148"/>
  <c r="K7" i="148" s="1"/>
  <c r="I6" i="148"/>
  <c r="K6" i="148" s="1"/>
  <c r="I5" i="148"/>
  <c r="K5" i="148" s="1"/>
  <c r="I4" i="148"/>
  <c r="K4" i="148" s="1"/>
  <c r="I3" i="148"/>
  <c r="K3" i="148" s="1"/>
  <c r="I8" i="148"/>
  <c r="K8" i="148" s="1"/>
  <c r="C55" i="148"/>
  <c r="E55" i="148" s="1"/>
  <c r="C54" i="148"/>
  <c r="E54" i="148" s="1"/>
  <c r="C53" i="148"/>
  <c r="C52" i="148"/>
  <c r="C51" i="148"/>
  <c r="C50" i="148"/>
  <c r="E50" i="148"/>
  <c r="C47" i="148"/>
  <c r="C46" i="148"/>
  <c r="C45" i="148"/>
  <c r="C44" i="148"/>
  <c r="C43" i="148" l="1"/>
  <c r="C42" i="148"/>
  <c r="C41" i="148"/>
  <c r="C40" i="148"/>
  <c r="C39" i="148"/>
  <c r="C38" i="148"/>
  <c r="C36" i="148"/>
  <c r="C35" i="148"/>
  <c r="C37" i="148"/>
  <c r="E37" i="148" s="1"/>
  <c r="C34" i="148"/>
  <c r="C33" i="148"/>
  <c r="C32" i="148"/>
  <c r="C31" i="148"/>
  <c r="C30" i="148"/>
  <c r="C29" i="148"/>
  <c r="C28" i="148"/>
  <c r="C27" i="148"/>
  <c r="I15" i="146"/>
  <c r="K15" i="146" s="1"/>
  <c r="I14" i="146"/>
  <c r="K14" i="146" s="1"/>
  <c r="I13" i="146"/>
  <c r="K13" i="146" s="1"/>
  <c r="I12" i="146"/>
  <c r="K12" i="146" s="1"/>
  <c r="I11" i="146"/>
  <c r="K11" i="146" s="1"/>
  <c r="I10" i="146"/>
  <c r="K10" i="146" s="1"/>
  <c r="I9" i="146"/>
  <c r="K9" i="146" s="1"/>
  <c r="I8" i="146"/>
  <c r="K8" i="146" s="1"/>
  <c r="I7" i="146"/>
  <c r="K7" i="146" s="1"/>
  <c r="I6" i="146"/>
  <c r="K6" i="146" s="1"/>
  <c r="I5" i="146"/>
  <c r="K5" i="146" s="1"/>
  <c r="I4" i="146"/>
  <c r="K4" i="146" s="1"/>
  <c r="I3" i="146"/>
  <c r="K3" i="146" s="1"/>
  <c r="C45" i="144"/>
  <c r="C46" i="146"/>
  <c r="I3" i="145"/>
  <c r="K3" i="145" s="1"/>
  <c r="I17" i="145"/>
  <c r="K17" i="145" s="1"/>
  <c r="I16" i="145"/>
  <c r="K16" i="145" s="1"/>
  <c r="I15" i="145"/>
  <c r="K15" i="145" s="1"/>
  <c r="I14" i="145"/>
  <c r="K14" i="145" s="1"/>
  <c r="I13" i="145"/>
  <c r="K13" i="145" s="1"/>
  <c r="I12" i="145"/>
  <c r="K12" i="145" s="1"/>
  <c r="I11" i="145"/>
  <c r="K11" i="145" s="1"/>
  <c r="I10" i="145"/>
  <c r="K10" i="145" s="1"/>
  <c r="I9" i="145"/>
  <c r="K9" i="145" s="1"/>
  <c r="I8" i="145"/>
  <c r="K8" i="145" s="1"/>
  <c r="I7" i="145"/>
  <c r="K7" i="145" s="1"/>
  <c r="I6" i="145"/>
  <c r="K6" i="145" s="1"/>
  <c r="I5" i="145"/>
  <c r="K5" i="145" s="1"/>
  <c r="I4" i="145"/>
  <c r="K4" i="145" s="1"/>
  <c r="C47" i="145"/>
  <c r="E47" i="145" s="1"/>
  <c r="C46" i="145"/>
  <c r="E46" i="145" s="1"/>
  <c r="C45" i="145"/>
  <c r="E45" i="145" s="1"/>
  <c r="C44" i="145"/>
  <c r="E44" i="145" s="1"/>
  <c r="E32" i="145"/>
  <c r="C30" i="145"/>
  <c r="C29" i="145"/>
  <c r="E29" i="145" s="1"/>
  <c r="C28" i="145"/>
  <c r="C26" i="145"/>
  <c r="E26" i="145" s="1"/>
  <c r="C25" i="145"/>
  <c r="I17" i="144" l="1"/>
  <c r="K17" i="144" s="1"/>
  <c r="I16" i="144"/>
  <c r="K16" i="144" s="1"/>
  <c r="I15" i="144"/>
  <c r="K15" i="144" s="1"/>
  <c r="I14" i="144"/>
  <c r="K14" i="144" s="1"/>
  <c r="I6" i="144"/>
  <c r="K6" i="144" s="1"/>
  <c r="I5" i="144"/>
  <c r="K5" i="144" s="1"/>
  <c r="I4" i="144"/>
  <c r="K4" i="144" s="1"/>
  <c r="I3" i="144"/>
  <c r="K3" i="144" s="1"/>
  <c r="I13" i="144"/>
  <c r="K13" i="144" s="1"/>
  <c r="I12" i="144"/>
  <c r="K12" i="144" s="1"/>
  <c r="I11" i="144"/>
  <c r="K11" i="144" s="1"/>
  <c r="I10" i="144"/>
  <c r="K10" i="144" s="1"/>
  <c r="I9" i="144"/>
  <c r="K9" i="144" s="1"/>
  <c r="I8" i="144"/>
  <c r="K8" i="144" s="1"/>
  <c r="I7" i="144"/>
  <c r="K7" i="144" s="1"/>
  <c r="C50" i="144"/>
  <c r="E50" i="144" s="1"/>
  <c r="C49" i="144"/>
  <c r="E49" i="144" s="1"/>
  <c r="C48" i="144"/>
  <c r="E48" i="144" s="1"/>
  <c r="C47" i="144"/>
  <c r="E47" i="144" s="1"/>
  <c r="C46" i="144"/>
  <c r="C47" i="132"/>
  <c r="E47" i="132" s="1"/>
  <c r="C43" i="144"/>
  <c r="E43" i="144" s="1"/>
  <c r="C31" i="144"/>
  <c r="E31" i="144" s="1"/>
  <c r="C30" i="144"/>
  <c r="E37" i="144"/>
  <c r="C35" i="144"/>
  <c r="C34" i="144"/>
  <c r="E34" i="144" s="1"/>
  <c r="C33" i="144"/>
  <c r="C22" i="144"/>
  <c r="E22" i="144" s="1"/>
  <c r="I9" i="143" l="1"/>
  <c r="K9" i="143" s="1"/>
  <c r="I8" i="143"/>
  <c r="K8" i="143" s="1"/>
  <c r="I7" i="143"/>
  <c r="K7" i="143" s="1"/>
  <c r="I6" i="143"/>
  <c r="I5" i="143"/>
  <c r="K5" i="143" s="1"/>
  <c r="I4" i="143"/>
  <c r="K4" i="143" s="1"/>
  <c r="K6" i="143"/>
  <c r="I19" i="143"/>
  <c r="K19" i="143" s="1"/>
  <c r="I18" i="143"/>
  <c r="K18" i="143" s="1"/>
  <c r="I14" i="143"/>
  <c r="K14" i="143" s="1"/>
  <c r="I13" i="143"/>
  <c r="K13" i="143" s="1"/>
  <c r="I17" i="143"/>
  <c r="K17" i="143" s="1"/>
  <c r="I16" i="143"/>
  <c r="K16" i="143" s="1"/>
  <c r="I15" i="143"/>
  <c r="K15" i="143" s="1"/>
  <c r="I12" i="143"/>
  <c r="K12" i="143" s="1"/>
  <c r="I11" i="143"/>
  <c r="K11" i="143" s="1"/>
  <c r="I10" i="143"/>
  <c r="K10" i="143" s="1"/>
  <c r="I19" i="134"/>
  <c r="I18" i="134"/>
  <c r="I14" i="134"/>
  <c r="I13" i="134"/>
  <c r="I17" i="134"/>
  <c r="I16" i="134"/>
  <c r="I15" i="134"/>
  <c r="I12" i="134"/>
  <c r="I11" i="134"/>
  <c r="I10" i="134"/>
  <c r="I3" i="143"/>
  <c r="K3" i="143" s="1"/>
  <c r="C62" i="143"/>
  <c r="E62" i="143" s="1"/>
  <c r="C61" i="143"/>
  <c r="E61" i="143"/>
  <c r="C60" i="143"/>
  <c r="C53" i="143"/>
  <c r="E53" i="143" s="1"/>
  <c r="C52" i="143"/>
  <c r="C51" i="143"/>
  <c r="C49" i="143"/>
  <c r="C48" i="143"/>
  <c r="C47" i="143"/>
  <c r="C46" i="143"/>
  <c r="C35" i="143"/>
  <c r="C30" i="143"/>
  <c r="C29" i="143"/>
  <c r="C28" i="143"/>
  <c r="C27" i="143"/>
  <c r="C25" i="143"/>
  <c r="C24" i="143"/>
  <c r="C23" i="143"/>
  <c r="C66" i="134"/>
  <c r="C65" i="134"/>
  <c r="C50" i="134"/>
  <c r="C41" i="134"/>
  <c r="C40" i="134"/>
  <c r="C39" i="134"/>
  <c r="C38" i="134"/>
  <c r="C37" i="134"/>
  <c r="C36" i="134"/>
  <c r="C35" i="134"/>
  <c r="C34" i="134"/>
  <c r="C33" i="134"/>
  <c r="C32" i="134"/>
  <c r="C31" i="134"/>
  <c r="C30" i="134"/>
  <c r="C34" i="143" l="1"/>
  <c r="K19" i="134"/>
  <c r="K18" i="134"/>
  <c r="K14" i="134"/>
  <c r="K13" i="134"/>
  <c r="K17" i="134"/>
  <c r="K16" i="134"/>
  <c r="K15" i="134"/>
  <c r="K12" i="134"/>
  <c r="K11" i="134"/>
  <c r="K10" i="134"/>
  <c r="I9" i="134"/>
  <c r="K9" i="134" s="1"/>
  <c r="I8" i="134"/>
  <c r="K8" i="134" s="1"/>
  <c r="I7" i="134"/>
  <c r="K7" i="134" s="1"/>
  <c r="I6" i="134"/>
  <c r="K6" i="134" s="1"/>
  <c r="I5" i="134"/>
  <c r="K5" i="134" s="1"/>
  <c r="I4" i="134"/>
  <c r="K4" i="134" s="1"/>
  <c r="I3" i="134"/>
  <c r="K3" i="134" s="1"/>
  <c r="C70" i="134"/>
  <c r="C69" i="134"/>
  <c r="E70" i="134"/>
  <c r="E69" i="134"/>
  <c r="C67" i="134"/>
  <c r="E67" i="134" s="1"/>
  <c r="C56" i="134"/>
  <c r="C48" i="134"/>
  <c r="C47" i="134"/>
  <c r="C46" i="134"/>
  <c r="C45" i="134"/>
  <c r="C44" i="134"/>
  <c r="C43" i="134"/>
  <c r="C29" i="134"/>
  <c r="C28" i="134"/>
  <c r="C27" i="134"/>
  <c r="C60" i="133" l="1"/>
  <c r="E60" i="133" s="1"/>
  <c r="C59" i="133"/>
  <c r="E59" i="133" s="1"/>
  <c r="C58" i="133"/>
  <c r="E58" i="133" s="1"/>
  <c r="C57" i="133"/>
  <c r="E57" i="133" s="1"/>
  <c r="C56" i="133"/>
  <c r="E56" i="133" s="1"/>
  <c r="C65" i="133"/>
  <c r="C61" i="133"/>
  <c r="C55" i="133"/>
  <c r="C54" i="133"/>
  <c r="C53" i="133"/>
  <c r="C52" i="133"/>
  <c r="C51" i="133"/>
  <c r="C50" i="133"/>
  <c r="C49" i="133"/>
  <c r="C48" i="133"/>
  <c r="C47" i="133"/>
  <c r="C46" i="133"/>
  <c r="C45" i="133"/>
  <c r="C44" i="133"/>
  <c r="C43" i="133"/>
  <c r="C42" i="133"/>
  <c r="E41" i="133"/>
  <c r="C39" i="133"/>
  <c r="C37" i="133"/>
  <c r="C36" i="133"/>
  <c r="E36" i="133" s="1"/>
  <c r="C35" i="133"/>
  <c r="C34" i="133"/>
  <c r="C33" i="133"/>
  <c r="C32" i="133"/>
  <c r="C31" i="133"/>
  <c r="C30" i="133"/>
  <c r="C29" i="133"/>
  <c r="C28" i="133"/>
  <c r="C27" i="133"/>
  <c r="C65" i="132"/>
  <c r="E65" i="132" s="1"/>
  <c r="C26" i="133"/>
  <c r="C25" i="133"/>
  <c r="C24" i="133"/>
  <c r="C23" i="133"/>
  <c r="C22" i="133"/>
  <c r="I17" i="133"/>
  <c r="K17" i="133" s="1"/>
  <c r="I16" i="133"/>
  <c r="K16" i="133" s="1"/>
  <c r="I15" i="133"/>
  <c r="K15" i="133" s="1"/>
  <c r="I14" i="133"/>
  <c r="K14" i="133" s="1"/>
  <c r="I13" i="133"/>
  <c r="K13" i="133" s="1"/>
  <c r="I12" i="133"/>
  <c r="K12" i="133" s="1"/>
  <c r="I11" i="133"/>
  <c r="K11" i="133" s="1"/>
  <c r="I10" i="133"/>
  <c r="K10" i="133" s="1"/>
  <c r="I9" i="133"/>
  <c r="K9" i="133" s="1"/>
  <c r="I8" i="133"/>
  <c r="K8" i="133" s="1"/>
  <c r="I7" i="133"/>
  <c r="K7" i="133" s="1"/>
  <c r="I6" i="133"/>
  <c r="K6" i="133" s="1"/>
  <c r="I5" i="133"/>
  <c r="K5" i="133" s="1"/>
  <c r="I4" i="133"/>
  <c r="K4" i="133" s="1"/>
  <c r="I3" i="133"/>
  <c r="K3" i="133" s="1"/>
  <c r="E50" i="132" l="1"/>
  <c r="I8" i="132"/>
  <c r="K8" i="132" s="1"/>
  <c r="I7" i="132"/>
  <c r="K7" i="132" s="1"/>
  <c r="I11" i="132"/>
  <c r="K11" i="132" s="1"/>
  <c r="I10" i="132"/>
  <c r="K10" i="132" s="1"/>
  <c r="I9" i="132"/>
  <c r="K9" i="132" s="1"/>
  <c r="C24" i="132"/>
  <c r="I17" i="132"/>
  <c r="K17" i="132" s="1"/>
  <c r="I16" i="132"/>
  <c r="K16" i="132" s="1"/>
  <c r="I15" i="132"/>
  <c r="K15" i="132" s="1"/>
  <c r="I14" i="132"/>
  <c r="K14" i="132" s="1"/>
  <c r="I13" i="132"/>
  <c r="K13" i="132" s="1"/>
  <c r="I12" i="132"/>
  <c r="K12" i="132" s="1"/>
  <c r="I6" i="132"/>
  <c r="K6" i="132" s="1"/>
  <c r="I5" i="132"/>
  <c r="K5" i="132" s="1"/>
  <c r="I4" i="132"/>
  <c r="K4" i="132" s="1"/>
  <c r="I3" i="132"/>
  <c r="K3" i="132" s="1"/>
  <c r="C64" i="132"/>
  <c r="E64" i="132" s="1"/>
  <c r="C63" i="132"/>
  <c r="E63" i="132" s="1"/>
  <c r="C62" i="132"/>
  <c r="E62" i="132" s="1"/>
  <c r="C61" i="132"/>
  <c r="E61" i="132" s="1"/>
  <c r="C56" i="132"/>
  <c r="C55" i="132"/>
  <c r="C54" i="132"/>
  <c r="C53" i="132"/>
  <c r="C52" i="132"/>
  <c r="C51" i="132"/>
  <c r="C46" i="132"/>
  <c r="E46" i="132" s="1"/>
  <c r="C44" i="132"/>
  <c r="C43" i="132"/>
  <c r="C42" i="132"/>
  <c r="C41" i="132"/>
  <c r="C40" i="132"/>
  <c r="C36" i="132"/>
  <c r="C38" i="132"/>
  <c r="C37" i="132"/>
  <c r="C35" i="132"/>
  <c r="C34" i="132"/>
  <c r="C33" i="132"/>
  <c r="C32" i="132"/>
  <c r="C31" i="132"/>
  <c r="C30" i="132"/>
  <c r="C29" i="132"/>
  <c r="C28" i="132"/>
  <c r="C27" i="132"/>
  <c r="C26" i="132"/>
  <c r="C25" i="132"/>
  <c r="I19" i="131"/>
  <c r="K19" i="131" s="1"/>
  <c r="I18" i="131"/>
  <c r="K18" i="131" s="1"/>
  <c r="I17" i="131"/>
  <c r="K17" i="131" s="1"/>
  <c r="I16" i="131"/>
  <c r="K16" i="131" s="1"/>
  <c r="I15" i="131"/>
  <c r="K15" i="131" s="1"/>
  <c r="I14" i="131"/>
  <c r="K14" i="131" s="1"/>
  <c r="I13" i="131"/>
  <c r="K13" i="131" s="1"/>
  <c r="I12" i="131"/>
  <c r="K12" i="131" s="1"/>
  <c r="I11" i="131"/>
  <c r="K11" i="131" s="1"/>
  <c r="I10" i="131"/>
  <c r="K10" i="131" s="1"/>
  <c r="I9" i="131"/>
  <c r="K9" i="131" s="1"/>
  <c r="I8" i="131"/>
  <c r="K8" i="131" s="1"/>
  <c r="I7" i="131"/>
  <c r="K7" i="131" s="1"/>
  <c r="I6" i="131"/>
  <c r="K6" i="131" s="1"/>
  <c r="I5" i="131"/>
  <c r="K5" i="131" s="1"/>
  <c r="I4" i="131"/>
  <c r="K4" i="131" s="1"/>
  <c r="I3" i="131"/>
  <c r="K3" i="131" s="1"/>
  <c r="C83" i="131"/>
  <c r="C80" i="131"/>
  <c r="C79" i="131"/>
  <c r="C78" i="131"/>
  <c r="C77" i="131"/>
  <c r="C75" i="131"/>
  <c r="E75" i="131" s="1"/>
  <c r="C74" i="131"/>
  <c r="E74" i="131" s="1"/>
  <c r="C70" i="131"/>
  <c r="C69" i="131"/>
  <c r="C68" i="131"/>
  <c r="C67" i="131"/>
  <c r="C66" i="131"/>
  <c r="C65" i="131"/>
  <c r="C64" i="131"/>
  <c r="C63" i="131"/>
  <c r="C62" i="131"/>
  <c r="C61" i="131"/>
  <c r="C60" i="131"/>
  <c r="C59" i="131"/>
  <c r="C58" i="131"/>
  <c r="C57" i="131"/>
  <c r="C56" i="131"/>
  <c r="C55" i="131"/>
  <c r="C54" i="131"/>
  <c r="E53" i="131"/>
  <c r="C50" i="131"/>
  <c r="C49" i="131"/>
  <c r="C48" i="131"/>
  <c r="C47" i="131"/>
  <c r="C46" i="131"/>
  <c r="C45" i="131"/>
  <c r="C44" i="131"/>
  <c r="C43" i="131"/>
  <c r="C41" i="131"/>
  <c r="E41" i="131" s="1"/>
  <c r="C42" i="131"/>
  <c r="C38" i="131"/>
  <c r="C37" i="131"/>
  <c r="C36" i="131"/>
  <c r="C35" i="131"/>
  <c r="C30" i="131"/>
  <c r="C29" i="131"/>
  <c r="C28" i="131"/>
  <c r="C27" i="131"/>
  <c r="C26" i="131"/>
  <c r="I15" i="130"/>
  <c r="K15" i="130" s="1"/>
  <c r="I14" i="130"/>
  <c r="K14" i="130" s="1"/>
  <c r="I13" i="130"/>
  <c r="K13" i="130" s="1"/>
  <c r="I12" i="130"/>
  <c r="K12" i="130" s="1"/>
  <c r="I11" i="130"/>
  <c r="K11" i="130" s="1"/>
  <c r="I10" i="130"/>
  <c r="K10" i="130" s="1"/>
  <c r="I9" i="130"/>
  <c r="K9" i="130" s="1"/>
  <c r="I8" i="130"/>
  <c r="K8" i="130" s="1"/>
  <c r="I7" i="130"/>
  <c r="K7" i="130" s="1"/>
  <c r="I6" i="130"/>
  <c r="K6" i="130" s="1"/>
  <c r="I5" i="130"/>
  <c r="K5" i="130" s="1"/>
  <c r="I4" i="130"/>
  <c r="K4" i="130" s="1"/>
  <c r="I3" i="130"/>
  <c r="K3" i="130" s="1"/>
  <c r="I19" i="129" l="1"/>
  <c r="K19" i="129" s="1"/>
  <c r="I18" i="129"/>
  <c r="K18" i="129" s="1"/>
  <c r="I17" i="129"/>
  <c r="K17" i="129" s="1"/>
  <c r="I16" i="129"/>
  <c r="K16" i="129" s="1"/>
  <c r="I15" i="129"/>
  <c r="K15" i="129" s="1"/>
  <c r="I14" i="129"/>
  <c r="K14" i="129" s="1"/>
  <c r="I13" i="129"/>
  <c r="K13" i="129" s="1"/>
  <c r="I12" i="129"/>
  <c r="K12" i="129" s="1"/>
  <c r="I11" i="129"/>
  <c r="K11" i="129" s="1"/>
  <c r="I10" i="129"/>
  <c r="K10" i="129" s="1"/>
  <c r="I9" i="129"/>
  <c r="K9" i="129" s="1"/>
  <c r="I8" i="129"/>
  <c r="K8" i="129" s="1"/>
  <c r="I7" i="129"/>
  <c r="K7" i="129" s="1"/>
  <c r="I6" i="129"/>
  <c r="K6" i="129" s="1"/>
  <c r="I5" i="129"/>
  <c r="K5" i="129" s="1"/>
  <c r="I4" i="129"/>
  <c r="K4" i="129" s="1"/>
  <c r="I3" i="129"/>
  <c r="K3" i="129" s="1"/>
  <c r="I21" i="128"/>
  <c r="K21" i="128" s="1"/>
  <c r="I20" i="128"/>
  <c r="K20" i="128" s="1"/>
  <c r="I19" i="128"/>
  <c r="K19" i="128" s="1"/>
  <c r="I18" i="128"/>
  <c r="K18" i="128" s="1"/>
  <c r="I17" i="128"/>
  <c r="K17" i="128" s="1"/>
  <c r="I16" i="128"/>
  <c r="K16" i="128" s="1"/>
  <c r="I15" i="128"/>
  <c r="K15" i="128" s="1"/>
  <c r="I14" i="128"/>
  <c r="K14" i="128" s="1"/>
  <c r="I13" i="128"/>
  <c r="K13" i="128" s="1"/>
  <c r="I12" i="128"/>
  <c r="K12" i="128" s="1"/>
  <c r="I11" i="128"/>
  <c r="K11" i="128" s="1"/>
  <c r="I10" i="128"/>
  <c r="K10" i="128" s="1"/>
  <c r="I9" i="128"/>
  <c r="K9" i="128" s="1"/>
  <c r="I8" i="128"/>
  <c r="K8" i="128" s="1"/>
  <c r="I7" i="128"/>
  <c r="K7" i="128" s="1"/>
  <c r="I6" i="128"/>
  <c r="K6" i="128" s="1"/>
  <c r="I5" i="128"/>
  <c r="K5" i="128" s="1"/>
  <c r="I4" i="128"/>
  <c r="K4" i="128" s="1"/>
  <c r="I3" i="128"/>
  <c r="K3" i="128" s="1"/>
  <c r="I21" i="127"/>
  <c r="K21" i="127" s="1"/>
  <c r="I20" i="127"/>
  <c r="K20" i="127" s="1"/>
  <c r="I19" i="127"/>
  <c r="K19" i="127" s="1"/>
  <c r="I18" i="127"/>
  <c r="K18" i="127" s="1"/>
  <c r="I17" i="127"/>
  <c r="K17" i="127" s="1"/>
  <c r="I16" i="127"/>
  <c r="K16" i="127" s="1"/>
  <c r="I15" i="127"/>
  <c r="K15" i="127" s="1"/>
  <c r="I14" i="127"/>
  <c r="K14" i="127" s="1"/>
  <c r="I13" i="127"/>
  <c r="K13" i="127" s="1"/>
  <c r="I12" i="127"/>
  <c r="K12" i="127" s="1"/>
  <c r="I11" i="127"/>
  <c r="K11" i="127" s="1"/>
  <c r="I10" i="127"/>
  <c r="K10" i="127" s="1"/>
  <c r="I9" i="127"/>
  <c r="K9" i="127" s="1"/>
  <c r="I8" i="127"/>
  <c r="K8" i="127" s="1"/>
  <c r="I7" i="127"/>
  <c r="K7" i="127" s="1"/>
  <c r="I6" i="127"/>
  <c r="K6" i="127" s="1"/>
  <c r="I5" i="127"/>
  <c r="K5" i="127" s="1"/>
  <c r="I4" i="127"/>
  <c r="K4" i="127" s="1"/>
  <c r="I3" i="127"/>
  <c r="K3" i="127" s="1"/>
  <c r="I17" i="126" l="1"/>
  <c r="K17" i="126" s="1"/>
  <c r="I16" i="126"/>
  <c r="K16" i="126" s="1"/>
  <c r="I15" i="126"/>
  <c r="K15" i="126" s="1"/>
  <c r="I14" i="126"/>
  <c r="K14" i="126" s="1"/>
  <c r="I13" i="126"/>
  <c r="K13" i="126" s="1"/>
  <c r="I12" i="126"/>
  <c r="K12" i="126" s="1"/>
  <c r="I11" i="126"/>
  <c r="K11" i="126" s="1"/>
  <c r="I10" i="126"/>
  <c r="K10" i="126" s="1"/>
  <c r="I9" i="126"/>
  <c r="K9" i="126" s="1"/>
  <c r="I8" i="126"/>
  <c r="K8" i="126" s="1"/>
  <c r="I7" i="126"/>
  <c r="K7" i="126" s="1"/>
  <c r="I6" i="126"/>
  <c r="K6" i="126" s="1"/>
  <c r="I5" i="126"/>
  <c r="K5" i="126" s="1"/>
  <c r="I4" i="126"/>
  <c r="K4" i="126" s="1"/>
  <c r="I3" i="126"/>
  <c r="K3" i="126" s="1"/>
  <c r="I18" i="126"/>
  <c r="K18" i="126" s="1"/>
  <c r="I19" i="126"/>
  <c r="K19" i="126" s="1"/>
  <c r="I21" i="126"/>
  <c r="K21" i="126" s="1"/>
  <c r="I20" i="126"/>
  <c r="K20" i="126" s="1"/>
  <c r="C29" i="126"/>
  <c r="C28" i="126"/>
  <c r="C69" i="125"/>
  <c r="C55" i="125"/>
  <c r="C54" i="125"/>
  <c r="C53" i="125"/>
  <c r="C52" i="125"/>
  <c r="C51" i="125"/>
  <c r="C50" i="125"/>
  <c r="C49" i="125"/>
  <c r="C48" i="125"/>
  <c r="C47" i="125"/>
  <c r="C46" i="125"/>
  <c r="C45" i="125"/>
  <c r="C44" i="125"/>
  <c r="C41" i="125"/>
  <c r="I21" i="125"/>
  <c r="K21" i="125" s="1"/>
  <c r="I20" i="125"/>
  <c r="K20" i="125" s="1"/>
  <c r="I19" i="125"/>
  <c r="K19" i="125" s="1"/>
  <c r="I18" i="125"/>
  <c r="K18" i="125" s="1"/>
  <c r="I17" i="125"/>
  <c r="K17" i="125" s="1"/>
  <c r="I16" i="125"/>
  <c r="K16" i="125" s="1"/>
  <c r="I15" i="125"/>
  <c r="K15" i="125" s="1"/>
  <c r="I14" i="125"/>
  <c r="K14" i="125" s="1"/>
  <c r="I13" i="125"/>
  <c r="K13" i="125" s="1"/>
  <c r="I12" i="125"/>
  <c r="K12" i="125" s="1"/>
  <c r="I11" i="125"/>
  <c r="K11" i="125" s="1"/>
  <c r="I10" i="125"/>
  <c r="K10" i="125" s="1"/>
  <c r="I9" i="125"/>
  <c r="K9" i="125" s="1"/>
  <c r="I8" i="125"/>
  <c r="K8" i="125" s="1"/>
  <c r="I6" i="125"/>
  <c r="K6" i="125" s="1"/>
  <c r="I5" i="125"/>
  <c r="K5" i="125" s="1"/>
  <c r="I4" i="125"/>
  <c r="K4" i="125" s="1"/>
  <c r="I3" i="125"/>
  <c r="K3" i="125" s="1"/>
  <c r="I7" i="125"/>
  <c r="K7" i="125" s="1"/>
  <c r="C78" i="129" l="1"/>
  <c r="E78" i="129"/>
  <c r="C77" i="129"/>
  <c r="E77" i="129" s="1"/>
  <c r="C73" i="129"/>
  <c r="C72" i="129"/>
  <c r="C71" i="129"/>
  <c r="C70" i="129"/>
  <c r="C69" i="129"/>
  <c r="C68" i="129"/>
  <c r="C67" i="129"/>
  <c r="C66" i="129"/>
  <c r="C65" i="129"/>
  <c r="C64" i="129"/>
  <c r="C63" i="129"/>
  <c r="C62" i="129"/>
  <c r="C61" i="129"/>
  <c r="C60" i="129"/>
  <c r="E60" i="129" s="1"/>
  <c r="C57" i="129"/>
  <c r="C56" i="129"/>
  <c r="C55" i="129"/>
  <c r="C54" i="129"/>
  <c r="C53" i="129"/>
  <c r="C52" i="129"/>
  <c r="C51" i="129"/>
  <c r="C50" i="129"/>
  <c r="C47" i="129"/>
  <c r="E47" i="129" s="1"/>
  <c r="C49" i="129"/>
  <c r="C48" i="129"/>
  <c r="C44" i="129"/>
  <c r="C43" i="129"/>
  <c r="C42" i="129"/>
  <c r="C41" i="129"/>
  <c r="C40" i="129"/>
  <c r="C39" i="129"/>
  <c r="C38" i="129"/>
  <c r="C37" i="129"/>
  <c r="C36" i="129"/>
  <c r="C35" i="129"/>
  <c r="C34" i="129"/>
  <c r="C33" i="129"/>
  <c r="C32" i="129"/>
  <c r="C31" i="129"/>
  <c r="C30" i="129"/>
  <c r="C29" i="129"/>
  <c r="C28" i="8" l="1"/>
  <c r="C33" i="8"/>
  <c r="C34" i="8"/>
  <c r="C32" i="8"/>
  <c r="C26" i="8"/>
  <c r="C23" i="8"/>
  <c r="C24" i="8"/>
  <c r="C29" i="156" l="1"/>
  <c r="C28" i="156"/>
  <c r="C27" i="156"/>
  <c r="E27" i="156" s="1"/>
  <c r="C26" i="156"/>
  <c r="E26" i="156" s="1"/>
  <c r="C25" i="156"/>
  <c r="C24" i="156"/>
  <c r="E24" i="156"/>
  <c r="C23" i="156"/>
  <c r="E23" i="156" s="1"/>
  <c r="C22" i="156"/>
  <c r="E22" i="156" s="1"/>
  <c r="C21" i="156"/>
  <c r="E21" i="156" s="1"/>
  <c r="C20" i="156"/>
  <c r="E20" i="156" s="1"/>
  <c r="C19" i="156"/>
  <c r="E19" i="156" s="1"/>
  <c r="C16" i="156"/>
  <c r="C18" i="156" s="1"/>
  <c r="C15" i="156"/>
  <c r="C14" i="156"/>
  <c r="C17" i="156" s="1"/>
  <c r="C31" i="156"/>
  <c r="E31" i="156" s="1"/>
  <c r="C30" i="156"/>
  <c r="E30" i="156" s="1"/>
  <c r="E29" i="156"/>
  <c r="E28" i="156"/>
  <c r="E15" i="156"/>
  <c r="E18" i="156" l="1"/>
  <c r="E17" i="156"/>
  <c r="E16" i="156"/>
  <c r="E14" i="156"/>
  <c r="C31" i="8"/>
  <c r="C30" i="8"/>
  <c r="C29" i="8"/>
  <c r="C27" i="8"/>
  <c r="C25" i="8"/>
  <c r="C22" i="8"/>
  <c r="C18" i="8"/>
  <c r="C20" i="8" s="1"/>
  <c r="C16" i="8"/>
  <c r="C19" i="8" s="1"/>
  <c r="D15" i="155"/>
  <c r="D15" i="154"/>
  <c r="D33" i="155"/>
  <c r="D26" i="155"/>
  <c r="D25" i="155"/>
  <c r="C21" i="8" l="1"/>
  <c r="E32" i="156"/>
  <c r="E33" i="155"/>
  <c r="D28" i="155"/>
  <c r="E28" i="155" s="1"/>
  <c r="D27" i="155"/>
  <c r="E27" i="155" s="1"/>
  <c r="E26" i="155"/>
  <c r="E25" i="155"/>
  <c r="E24" i="155"/>
  <c r="D24" i="155"/>
  <c r="D23" i="155"/>
  <c r="E23" i="155" s="1"/>
  <c r="D22" i="155"/>
  <c r="E22" i="155" s="1"/>
  <c r="D21" i="155"/>
  <c r="E21" i="155" s="1"/>
  <c r="D19" i="155"/>
  <c r="E19" i="155" s="1"/>
  <c r="D17" i="155"/>
  <c r="D16" i="155"/>
  <c r="D18" i="155" s="1"/>
  <c r="D20" i="155"/>
  <c r="E14" i="155"/>
  <c r="D14" i="155"/>
  <c r="D13" i="155"/>
  <c r="E13" i="155" s="1"/>
  <c r="D34" i="154"/>
  <c r="D17" i="154"/>
  <c r="D25" i="154"/>
  <c r="D22" i="154"/>
  <c r="D21" i="154"/>
  <c r="D16" i="154"/>
  <c r="D18" i="154" s="1"/>
  <c r="D20" i="154"/>
  <c r="D14" i="154"/>
  <c r="E16" i="155" l="1"/>
  <c r="E15" i="155"/>
  <c r="E29" i="155" s="1"/>
  <c r="E34" i="155" s="1"/>
  <c r="D30" i="152"/>
  <c r="D17" i="152"/>
  <c r="D18" i="152"/>
  <c r="D26" i="152"/>
  <c r="D25" i="152"/>
  <c r="D24" i="152"/>
  <c r="D23" i="152"/>
  <c r="D22" i="152"/>
  <c r="D21" i="152"/>
  <c r="D20" i="152"/>
  <c r="D19" i="152"/>
  <c r="E34" i="154" l="1"/>
  <c r="D29" i="154"/>
  <c r="E29" i="154" s="1"/>
  <c r="D28" i="154"/>
  <c r="E28" i="154" s="1"/>
  <c r="E27" i="154"/>
  <c r="D27" i="154"/>
  <c r="D26" i="154"/>
  <c r="E26" i="154" s="1"/>
  <c r="E25" i="154"/>
  <c r="D24" i="154"/>
  <c r="E24" i="154" s="1"/>
  <c r="D23" i="154"/>
  <c r="E23" i="154" s="1"/>
  <c r="E22" i="154"/>
  <c r="E21" i="154"/>
  <c r="E20" i="154"/>
  <c r="D19" i="154"/>
  <c r="E19" i="154" s="1"/>
  <c r="E16" i="154"/>
  <c r="E15" i="154"/>
  <c r="E14" i="154"/>
  <c r="D13" i="154"/>
  <c r="E13" i="154" s="1"/>
  <c r="D34" i="153"/>
  <c r="D20" i="153"/>
  <c r="D19" i="153"/>
  <c r="D18" i="153"/>
  <c r="D17" i="153"/>
  <c r="D16" i="152"/>
  <c r="D15" i="152"/>
  <c r="E30" i="154" l="1"/>
  <c r="E35" i="154" s="1"/>
  <c r="E30" i="152"/>
  <c r="E17" i="152"/>
  <c r="E26" i="152"/>
  <c r="D27" i="152"/>
  <c r="E27" i="152" s="1"/>
  <c r="E25" i="152"/>
  <c r="E24" i="152"/>
  <c r="E23" i="152"/>
  <c r="E22" i="152"/>
  <c r="E15" i="152"/>
  <c r="E20" i="152"/>
  <c r="E19" i="152"/>
  <c r="E16" i="152" l="1"/>
  <c r="E18" i="152"/>
  <c r="D14" i="152"/>
  <c r="E14" i="152" s="1"/>
  <c r="D13" i="152"/>
  <c r="E13" i="152" l="1"/>
  <c r="E34" i="153"/>
  <c r="E33" i="153"/>
  <c r="D33" i="153"/>
  <c r="E32" i="153"/>
  <c r="D32" i="153"/>
  <c r="E27" i="153"/>
  <c r="D27" i="153"/>
  <c r="D26" i="153"/>
  <c r="E26" i="153" s="1"/>
  <c r="E25" i="153"/>
  <c r="D25" i="153"/>
  <c r="D24" i="153"/>
  <c r="E24" i="153" s="1"/>
  <c r="E23" i="153"/>
  <c r="D23" i="153"/>
  <c r="D22" i="153"/>
  <c r="E22" i="153" s="1"/>
  <c r="D21" i="153"/>
  <c r="E21" i="153" s="1"/>
  <c r="E20" i="153"/>
  <c r="E19" i="153"/>
  <c r="E18" i="153"/>
  <c r="E17" i="153"/>
  <c r="D16" i="153"/>
  <c r="E16" i="153" s="1"/>
  <c r="D15" i="153"/>
  <c r="E15" i="153" s="1"/>
  <c r="D14" i="153"/>
  <c r="E14" i="153" s="1"/>
  <c r="D13" i="153"/>
  <c r="E13" i="153" s="1"/>
  <c r="E21" i="152"/>
  <c r="E31" i="152" l="1"/>
  <c r="E28" i="153"/>
  <c r="E35" i="153" s="1"/>
  <c r="C67" i="128" l="1"/>
  <c r="C56" i="148"/>
  <c r="C63" i="150" l="1"/>
  <c r="E63" i="150" s="1"/>
  <c r="C60" i="150"/>
  <c r="C59" i="150"/>
  <c r="C58" i="150"/>
  <c r="E58" i="150" s="1"/>
  <c r="C29" i="149"/>
  <c r="E55" i="150"/>
  <c r="E49" i="150"/>
  <c r="E43" i="150"/>
  <c r="E42" i="150"/>
  <c r="E41" i="150"/>
  <c r="E38" i="150"/>
  <c r="E37" i="150"/>
  <c r="E35" i="150"/>
  <c r="E33" i="150"/>
  <c r="E32" i="150"/>
  <c r="E30" i="150"/>
  <c r="E29" i="150"/>
  <c r="E28" i="150"/>
  <c r="C23" i="149"/>
  <c r="E23" i="149" s="1"/>
  <c r="E27" i="150"/>
  <c r="E25" i="150"/>
  <c r="E24" i="150"/>
  <c r="E60" i="150"/>
  <c r="E59" i="150"/>
  <c r="E54" i="150"/>
  <c r="E53" i="150"/>
  <c r="E52" i="150"/>
  <c r="E51" i="150"/>
  <c r="E50" i="150"/>
  <c r="E47" i="150"/>
  <c r="E46" i="150"/>
  <c r="E45" i="150"/>
  <c r="E44" i="150"/>
  <c r="E40" i="150"/>
  <c r="E39" i="150"/>
  <c r="E31" i="150"/>
  <c r="E26" i="150"/>
  <c r="C43" i="149"/>
  <c r="E43" i="149" s="1"/>
  <c r="C40" i="149"/>
  <c r="C39" i="149"/>
  <c r="E39" i="149" s="1"/>
  <c r="C38" i="149"/>
  <c r="C37" i="149"/>
  <c r="C36" i="149"/>
  <c r="E36" i="149" s="1"/>
  <c r="C35" i="149"/>
  <c r="E35" i="149" s="1"/>
  <c r="C34" i="149"/>
  <c r="E34" i="149" s="1"/>
  <c r="C33" i="149"/>
  <c r="C32" i="149"/>
  <c r="C31" i="149"/>
  <c r="C28" i="149"/>
  <c r="E28" i="149" s="1"/>
  <c r="C27" i="149"/>
  <c r="E27" i="149" s="1"/>
  <c r="C26" i="149"/>
  <c r="E26" i="149" s="1"/>
  <c r="C25" i="149"/>
  <c r="E25" i="149" s="1"/>
  <c r="C24" i="149"/>
  <c r="E24" i="149" s="1"/>
  <c r="C22" i="149"/>
  <c r="E22" i="149" s="1"/>
  <c r="C21" i="149"/>
  <c r="E21" i="149" s="1"/>
  <c r="C20" i="149"/>
  <c r="E20" i="149" s="1"/>
  <c r="C19" i="149"/>
  <c r="E19" i="149" s="1"/>
  <c r="E40" i="149"/>
  <c r="E38" i="149"/>
  <c r="E37" i="149"/>
  <c r="E64" i="150" l="1"/>
  <c r="E44" i="149"/>
  <c r="E34" i="150"/>
  <c r="E32" i="149"/>
  <c r="E31" i="149"/>
  <c r="E33" i="149"/>
  <c r="C61" i="148"/>
  <c r="C58" i="148"/>
  <c r="C57" i="148"/>
  <c r="C49" i="148"/>
  <c r="C48" i="148"/>
  <c r="E61" i="148" l="1"/>
  <c r="E58" i="148"/>
  <c r="E57" i="148"/>
  <c r="E56" i="148"/>
  <c r="E53" i="148"/>
  <c r="E52" i="148"/>
  <c r="E51" i="148"/>
  <c r="E49" i="148"/>
  <c r="E48" i="148"/>
  <c r="E47" i="148"/>
  <c r="E46" i="148"/>
  <c r="E45" i="148"/>
  <c r="E44" i="148"/>
  <c r="E43" i="148"/>
  <c r="E42" i="148"/>
  <c r="E41" i="148"/>
  <c r="E40" i="148"/>
  <c r="E39" i="148"/>
  <c r="E38" i="148"/>
  <c r="E36" i="148"/>
  <c r="E35" i="148"/>
  <c r="E34" i="148"/>
  <c r="E33" i="148"/>
  <c r="E32" i="148"/>
  <c r="E31" i="148"/>
  <c r="E30" i="148"/>
  <c r="E62" i="148" s="1"/>
  <c r="E29" i="148"/>
  <c r="E28" i="148"/>
  <c r="E27" i="148"/>
  <c r="E56" i="125" l="1"/>
  <c r="E50" i="125"/>
  <c r="E51" i="125"/>
  <c r="E49" i="125"/>
  <c r="E48" i="125"/>
  <c r="E47" i="125"/>
  <c r="E46" i="125"/>
  <c r="E45" i="125"/>
  <c r="E44" i="125"/>
  <c r="E41" i="125"/>
  <c r="E39" i="125"/>
  <c r="E37" i="125"/>
  <c r="C60" i="146" l="1"/>
  <c r="C57" i="146"/>
  <c r="C56" i="146"/>
  <c r="C55" i="146"/>
  <c r="C47" i="146"/>
  <c r="C25" i="146"/>
  <c r="C24" i="146"/>
  <c r="C23" i="146"/>
  <c r="C22" i="146"/>
  <c r="C55" i="145"/>
  <c r="C51" i="145"/>
  <c r="C50" i="145"/>
  <c r="C49" i="145"/>
  <c r="C48" i="145"/>
  <c r="C36" i="145"/>
  <c r="C26" i="143"/>
  <c r="E26" i="143" s="1"/>
  <c r="C22" i="145"/>
  <c r="C21" i="145"/>
  <c r="C20" i="145"/>
  <c r="C19" i="145"/>
  <c r="C58" i="144"/>
  <c r="C54" i="144"/>
  <c r="C53" i="144"/>
  <c r="C52" i="144"/>
  <c r="C51" i="144"/>
  <c r="C65" i="143"/>
  <c r="C64" i="143"/>
  <c r="C63" i="143"/>
  <c r="E63" i="143" s="1"/>
  <c r="C77" i="134"/>
  <c r="E77" i="134" s="1"/>
  <c r="C73" i="134"/>
  <c r="C72" i="134"/>
  <c r="E72" i="134" s="1"/>
  <c r="C71" i="134"/>
  <c r="E71" i="134" s="1"/>
  <c r="C69" i="132"/>
  <c r="C60" i="132"/>
  <c r="C59" i="132"/>
  <c r="E59" i="132" s="1"/>
  <c r="C58" i="132"/>
  <c r="E58" i="132" s="1"/>
  <c r="C57" i="132"/>
  <c r="E57" i="132" s="1"/>
  <c r="C76" i="131"/>
  <c r="C73" i="131"/>
  <c r="C72" i="131"/>
  <c r="C71" i="131"/>
  <c r="E71" i="131" s="1"/>
  <c r="C50" i="130"/>
  <c r="C47" i="130"/>
  <c r="C46" i="130"/>
  <c r="C45" i="130"/>
  <c r="C81" i="129"/>
  <c r="C76" i="129"/>
  <c r="C75" i="129"/>
  <c r="C74" i="129"/>
  <c r="C60" i="128"/>
  <c r="C59" i="128"/>
  <c r="C58" i="128"/>
  <c r="C57" i="128"/>
  <c r="C56" i="128"/>
  <c r="C55" i="128"/>
  <c r="C54" i="128"/>
  <c r="C53" i="128"/>
  <c r="C52" i="128"/>
  <c r="C48" i="127"/>
  <c r="C47" i="127"/>
  <c r="E47" i="127" s="1"/>
  <c r="C46" i="127"/>
  <c r="C45" i="127"/>
  <c r="C44" i="127"/>
  <c r="C43" i="127"/>
  <c r="C42" i="127"/>
  <c r="C41" i="127"/>
  <c r="C40" i="127"/>
  <c r="C30" i="127"/>
  <c r="C29" i="127"/>
  <c r="C88" i="125"/>
  <c r="E88" i="125" s="1"/>
  <c r="C82" i="125"/>
  <c r="E82" i="125" s="1"/>
  <c r="C57" i="126"/>
  <c r="E57" i="126" s="1"/>
  <c r="C53" i="126"/>
  <c r="E53" i="126" s="1"/>
  <c r="C52" i="126"/>
  <c r="E52" i="126" s="1"/>
  <c r="C51" i="126"/>
  <c r="C50" i="126"/>
  <c r="C49" i="126"/>
  <c r="E49" i="126" s="1"/>
  <c r="C48" i="126"/>
  <c r="E48" i="126" s="1"/>
  <c r="C47" i="126"/>
  <c r="C46" i="126"/>
  <c r="C35" i="126"/>
  <c r="C34" i="126"/>
  <c r="C93" i="125"/>
  <c r="E93" i="125" s="1"/>
  <c r="C89" i="125"/>
  <c r="E89" i="125" s="1"/>
  <c r="C87" i="125"/>
  <c r="E87" i="125" s="1"/>
  <c r="C85" i="125"/>
  <c r="E85" i="125" s="1"/>
  <c r="C84" i="125"/>
  <c r="E84" i="125" s="1"/>
  <c r="C83" i="125"/>
  <c r="E83" i="125" s="1"/>
  <c r="C86" i="125"/>
  <c r="E86" i="125" s="1"/>
  <c r="E46" i="144"/>
  <c r="C32" i="144"/>
  <c r="E32" i="144" s="1"/>
  <c r="C29" i="144"/>
  <c r="E29" i="144" s="1"/>
  <c r="C28" i="144"/>
  <c r="E28" i="144" s="1"/>
  <c r="C27" i="144"/>
  <c r="E27" i="144" s="1"/>
  <c r="C26" i="144"/>
  <c r="E26" i="144" s="1"/>
  <c r="C25" i="144"/>
  <c r="C24" i="144"/>
  <c r="C23" i="144"/>
  <c r="C21" i="144"/>
  <c r="E21" i="144" s="1"/>
  <c r="E30" i="144"/>
  <c r="C59" i="143"/>
  <c r="E59" i="143" s="1"/>
  <c r="C55" i="143"/>
  <c r="E55" i="143" s="1"/>
  <c r="C50" i="143"/>
  <c r="E50" i="143" s="1"/>
  <c r="C45" i="143"/>
  <c r="E45" i="143" s="1"/>
  <c r="E65" i="143"/>
  <c r="E64" i="143"/>
  <c r="C44" i="143"/>
  <c r="E44" i="143" s="1"/>
  <c r="C43" i="143"/>
  <c r="E43" i="143" s="1"/>
  <c r="C42" i="143"/>
  <c r="E42" i="143" s="1"/>
  <c r="C41" i="143"/>
  <c r="E41" i="143" s="1"/>
  <c r="C40" i="143"/>
  <c r="E40" i="143" s="1"/>
  <c r="C39" i="143"/>
  <c r="E39" i="143" s="1"/>
  <c r="E35" i="143"/>
  <c r="E25" i="143"/>
  <c r="E24" i="143"/>
  <c r="E23" i="143"/>
  <c r="E38" i="132"/>
  <c r="C19" i="130"/>
  <c r="C84" i="128"/>
  <c r="C37" i="128"/>
  <c r="E26" i="126"/>
  <c r="E36" i="125"/>
  <c r="C63" i="134"/>
  <c r="E50" i="134"/>
  <c r="E73" i="134"/>
  <c r="C64" i="134"/>
  <c r="E64" i="134" s="1"/>
  <c r="C62" i="134"/>
  <c r="E62" i="134" s="1"/>
  <c r="C42" i="134"/>
  <c r="E42" i="134" s="1"/>
  <c r="E43" i="134"/>
  <c r="C60" i="134"/>
  <c r="E60" i="134" s="1"/>
  <c r="C59" i="134"/>
  <c r="E59" i="134" s="1"/>
  <c r="C58" i="134"/>
  <c r="E58" i="134" s="1"/>
  <c r="C57" i="134"/>
  <c r="E57" i="134" s="1"/>
  <c r="E56" i="134"/>
  <c r="C55" i="134"/>
  <c r="E55" i="134" s="1"/>
  <c r="C54" i="134"/>
  <c r="E54" i="134" s="1"/>
  <c r="C53" i="134"/>
  <c r="E53" i="134" s="1"/>
  <c r="E28" i="134"/>
  <c r="E29" i="134"/>
  <c r="E51" i="126"/>
  <c r="E50" i="126"/>
  <c r="E47" i="126"/>
  <c r="E46" i="126"/>
  <c r="E37" i="133"/>
  <c r="E34" i="133"/>
  <c r="E33" i="133"/>
  <c r="E32" i="133"/>
  <c r="E29" i="133"/>
  <c r="E24" i="133"/>
  <c r="E23" i="133"/>
  <c r="E69" i="132"/>
  <c r="E60" i="132"/>
  <c r="E76" i="131"/>
  <c r="E73" i="131"/>
  <c r="E72" i="131"/>
  <c r="E55" i="128"/>
  <c r="E30" i="132"/>
  <c r="E29" i="132"/>
  <c r="E43" i="132"/>
  <c r="E44" i="132"/>
  <c r="E42" i="132"/>
  <c r="E41" i="132"/>
  <c r="E40" i="132"/>
  <c r="E37" i="132"/>
  <c r="E35" i="132"/>
  <c r="E34" i="132"/>
  <c r="E33" i="132"/>
  <c r="E31" i="132"/>
  <c r="E32" i="132"/>
  <c r="E28" i="132"/>
  <c r="E27" i="132"/>
  <c r="E26" i="132"/>
  <c r="E25" i="132"/>
  <c r="E24" i="132"/>
  <c r="C42" i="144" l="1"/>
  <c r="C61" i="134"/>
  <c r="E61" i="134" s="1"/>
  <c r="E28" i="133"/>
  <c r="C39" i="132"/>
  <c r="E39" i="132" s="1"/>
  <c r="E83" i="131"/>
  <c r="E80" i="131"/>
  <c r="E79" i="131"/>
  <c r="E78" i="131"/>
  <c r="E77" i="131"/>
  <c r="E70" i="131"/>
  <c r="E69" i="131"/>
  <c r="E68" i="131"/>
  <c r="E67" i="131"/>
  <c r="E66" i="131"/>
  <c r="E65" i="131"/>
  <c r="E64" i="131"/>
  <c r="E63" i="131"/>
  <c r="E61" i="131"/>
  <c r="E57" i="131"/>
  <c r="E56" i="131"/>
  <c r="E54" i="131"/>
  <c r="E50" i="131"/>
  <c r="E49" i="131"/>
  <c r="E48" i="131"/>
  <c r="E47" i="131"/>
  <c r="E46" i="131"/>
  <c r="E43" i="131"/>
  <c r="E38" i="131"/>
  <c r="E30" i="131"/>
  <c r="E29" i="131"/>
  <c r="E28" i="131"/>
  <c r="E26" i="131"/>
  <c r="E27" i="131"/>
  <c r="C39" i="130"/>
  <c r="C38" i="130"/>
  <c r="C37" i="130"/>
  <c r="C36" i="130"/>
  <c r="C30" i="130"/>
  <c r="E53" i="129"/>
  <c r="E55" i="129"/>
  <c r="E50" i="129"/>
  <c r="C46" i="129"/>
  <c r="E30" i="129"/>
  <c r="C80" i="128"/>
  <c r="C79" i="128"/>
  <c r="C78" i="128"/>
  <c r="C77" i="128"/>
  <c r="C76" i="128"/>
  <c r="C75" i="128"/>
  <c r="C74" i="128"/>
  <c r="E74" i="128" s="1"/>
  <c r="C73" i="128"/>
  <c r="C72" i="128"/>
  <c r="C71" i="128"/>
  <c r="C70" i="128"/>
  <c r="E70" i="128" s="1"/>
  <c r="C69" i="128"/>
  <c r="C68" i="128"/>
  <c r="C66" i="128"/>
  <c r="C65" i="128"/>
  <c r="C64" i="128"/>
  <c r="C63" i="128"/>
  <c r="C62" i="128"/>
  <c r="C61" i="128"/>
  <c r="C51" i="128"/>
  <c r="C50" i="128"/>
  <c r="C47" i="128"/>
  <c r="C44" i="128"/>
  <c r="E44" i="128" s="1"/>
  <c r="C42" i="128"/>
  <c r="C41" i="128"/>
  <c r="C40" i="128"/>
  <c r="E38" i="128"/>
  <c r="C36" i="128"/>
  <c r="C35" i="128"/>
  <c r="C34" i="128"/>
  <c r="C64" i="125"/>
  <c r="E64" i="125" s="1"/>
  <c r="C63" i="125"/>
  <c r="E63" i="125" s="1"/>
  <c r="C62" i="125"/>
  <c r="E62" i="125" s="1"/>
  <c r="C61" i="125"/>
  <c r="E61" i="125" s="1"/>
  <c r="C34" i="125"/>
  <c r="E34" i="125" s="1"/>
  <c r="C33" i="125"/>
  <c r="E33" i="125" s="1"/>
  <c r="C32" i="125"/>
  <c r="E32" i="125" s="1"/>
  <c r="C31" i="125"/>
  <c r="C33" i="128"/>
  <c r="C31" i="128"/>
  <c r="E31" i="128" s="1"/>
  <c r="C32" i="128"/>
  <c r="C30" i="128"/>
  <c r="C29" i="128"/>
  <c r="C28" i="128"/>
  <c r="E28" i="128" s="1"/>
  <c r="C53" i="127"/>
  <c r="C52" i="127"/>
  <c r="C51" i="127"/>
  <c r="C50" i="127"/>
  <c r="C49" i="127"/>
  <c r="C39" i="127"/>
  <c r="C38" i="127"/>
  <c r="C37" i="127"/>
  <c r="C34" i="127"/>
  <c r="C31" i="127"/>
  <c r="E31" i="127" s="1"/>
  <c r="C27" i="127"/>
  <c r="C24" i="127"/>
  <c r="C23" i="127"/>
  <c r="C45" i="126"/>
  <c r="E45" i="126" s="1"/>
  <c r="C44" i="126"/>
  <c r="E44" i="126" s="1"/>
  <c r="C43" i="126"/>
  <c r="E43" i="126" s="1"/>
  <c r="C40" i="126"/>
  <c r="E40" i="126" s="1"/>
  <c r="C39" i="126"/>
  <c r="E39" i="126" s="1"/>
  <c r="C36" i="126"/>
  <c r="E36" i="126" s="1"/>
  <c r="C32" i="126"/>
  <c r="E32" i="126" s="1"/>
  <c r="E29" i="126"/>
  <c r="E28" i="126"/>
  <c r="C25" i="126"/>
  <c r="E25" i="126" s="1"/>
  <c r="C24" i="126"/>
  <c r="C81" i="125" l="1"/>
  <c r="E81" i="125" s="1"/>
  <c r="C79" i="125"/>
  <c r="E79" i="125" s="1"/>
  <c r="C76" i="125"/>
  <c r="E76" i="125" s="1"/>
  <c r="C75" i="125"/>
  <c r="E75" i="125" s="1"/>
  <c r="C74" i="125"/>
  <c r="E74" i="125" s="1"/>
  <c r="C72" i="125"/>
  <c r="E72" i="125" s="1"/>
  <c r="C68" i="125"/>
  <c r="E68" i="125" s="1"/>
  <c r="C66" i="125"/>
  <c r="E66" i="125" s="1"/>
  <c r="C60" i="125"/>
  <c r="E60" i="125" s="1"/>
  <c r="C59" i="125"/>
  <c r="E59" i="125" s="1"/>
  <c r="C57" i="125"/>
  <c r="E57" i="125" s="1"/>
  <c r="E55" i="125"/>
  <c r="E54" i="125"/>
  <c r="E53" i="125"/>
  <c r="E52" i="125"/>
  <c r="E40" i="125"/>
  <c r="E42" i="125"/>
  <c r="E24" i="146" l="1"/>
  <c r="E23" i="146"/>
  <c r="C26" i="146"/>
  <c r="E26" i="146" s="1"/>
  <c r="E25" i="146"/>
  <c r="E22" i="146"/>
  <c r="C21" i="146"/>
  <c r="E21" i="146" s="1"/>
  <c r="E60" i="146"/>
  <c r="E57" i="146"/>
  <c r="E56" i="146"/>
  <c r="E55" i="146"/>
  <c r="C54" i="146"/>
  <c r="E54" i="146" s="1"/>
  <c r="C53" i="146"/>
  <c r="E53" i="146" s="1"/>
  <c r="C52" i="146"/>
  <c r="E52" i="146" s="1"/>
  <c r="C51" i="146"/>
  <c r="E51" i="146" s="1"/>
  <c r="E46" i="146"/>
  <c r="C45" i="146"/>
  <c r="E45" i="146" s="1"/>
  <c r="C42" i="146"/>
  <c r="E42" i="146" s="1"/>
  <c r="C40" i="146"/>
  <c r="C39" i="146"/>
  <c r="E39" i="146" s="1"/>
  <c r="C38" i="146"/>
  <c r="E38" i="146" s="1"/>
  <c r="C37" i="146"/>
  <c r="E37" i="146" s="1"/>
  <c r="C36" i="146"/>
  <c r="E36" i="146" s="1"/>
  <c r="C35" i="146"/>
  <c r="E35" i="146" s="1"/>
  <c r="C34" i="146"/>
  <c r="E34" i="146" s="1"/>
  <c r="C33" i="146"/>
  <c r="E33" i="146" s="1"/>
  <c r="C32" i="146"/>
  <c r="E32" i="146" s="1"/>
  <c r="C31" i="146"/>
  <c r="E31" i="146" s="1"/>
  <c r="C30" i="146"/>
  <c r="E30" i="146" s="1"/>
  <c r="C29" i="146"/>
  <c r="E29" i="146" s="1"/>
  <c r="C28" i="146"/>
  <c r="E28" i="146" s="1"/>
  <c r="C27" i="146"/>
  <c r="E47" i="146" s="1"/>
  <c r="E22" i="145"/>
  <c r="E20" i="145"/>
  <c r="E19" i="145"/>
  <c r="E21" i="145"/>
  <c r="C23" i="145"/>
  <c r="E23" i="145" s="1"/>
  <c r="C24" i="145"/>
  <c r="E24" i="145" s="1"/>
  <c r="E55" i="145"/>
  <c r="E51" i="145"/>
  <c r="E50" i="145"/>
  <c r="E49" i="145"/>
  <c r="E48" i="145"/>
  <c r="C43" i="145"/>
  <c r="E43" i="145" s="1"/>
  <c r="C42" i="145"/>
  <c r="E42" i="145" s="1"/>
  <c r="C41" i="145"/>
  <c r="E41" i="145" s="1"/>
  <c r="C40" i="145"/>
  <c r="E40" i="145" s="1"/>
  <c r="C39" i="145"/>
  <c r="E39" i="145" s="1"/>
  <c r="C38" i="145"/>
  <c r="E38" i="145" s="1"/>
  <c r="E36" i="145"/>
  <c r="C35" i="145"/>
  <c r="E35" i="145" s="1"/>
  <c r="C34" i="145"/>
  <c r="E34" i="145" s="1"/>
  <c r="C33" i="145"/>
  <c r="C37" i="145" s="1"/>
  <c r="E30" i="145"/>
  <c r="E28" i="145"/>
  <c r="C27" i="145"/>
  <c r="E27" i="145" s="1"/>
  <c r="E25" i="145"/>
  <c r="E23" i="144"/>
  <c r="C20" i="144"/>
  <c r="E20" i="144" s="1"/>
  <c r="E58" i="144"/>
  <c r="E54" i="144"/>
  <c r="E53" i="144"/>
  <c r="E52" i="144"/>
  <c r="E51" i="144"/>
  <c r="E45" i="144"/>
  <c r="C44" i="144"/>
  <c r="E44" i="144" s="1"/>
  <c r="C41" i="144"/>
  <c r="E41" i="144" s="1"/>
  <c r="C40" i="144"/>
  <c r="E40" i="144" s="1"/>
  <c r="C39" i="144"/>
  <c r="E39" i="144" s="1"/>
  <c r="C38" i="144"/>
  <c r="E38" i="144" s="1"/>
  <c r="E35" i="144"/>
  <c r="E33" i="144"/>
  <c r="E24" i="144"/>
  <c r="E60" i="143"/>
  <c r="E46" i="133"/>
  <c r="E56" i="145" l="1"/>
  <c r="E33" i="145"/>
  <c r="E37" i="145"/>
  <c r="E59" i="144"/>
  <c r="E25" i="144"/>
  <c r="E42" i="144"/>
  <c r="C50" i="146"/>
  <c r="E50" i="146" s="1"/>
  <c r="E27" i="146"/>
  <c r="E40" i="146"/>
  <c r="E61" i="146" s="1"/>
  <c r="C49" i="146"/>
  <c r="E49" i="146" s="1"/>
  <c r="C48" i="146"/>
  <c r="E48" i="146" s="1"/>
  <c r="C57" i="143"/>
  <c r="E57" i="143" s="1"/>
  <c r="C56" i="143"/>
  <c r="E56" i="143" s="1"/>
  <c r="C54" i="143"/>
  <c r="E54" i="143" s="1"/>
  <c r="E52" i="143"/>
  <c r="E51" i="143"/>
  <c r="C58" i="143"/>
  <c r="E49" i="143"/>
  <c r="E48" i="143"/>
  <c r="E47" i="143"/>
  <c r="E46" i="143"/>
  <c r="E37" i="131"/>
  <c r="C33" i="143"/>
  <c r="E33" i="143" s="1"/>
  <c r="C32" i="143"/>
  <c r="E32" i="143" s="1"/>
  <c r="C31" i="143"/>
  <c r="E31" i="143" s="1"/>
  <c r="E30" i="143"/>
  <c r="E29" i="143"/>
  <c r="E28" i="143"/>
  <c r="E27" i="143"/>
  <c r="E47" i="134"/>
  <c r="E46" i="134"/>
  <c r="E45" i="134"/>
  <c r="E40" i="134"/>
  <c r="E41" i="134"/>
  <c r="E39" i="134"/>
  <c r="E38" i="134"/>
  <c r="E37" i="134"/>
  <c r="E36" i="134"/>
  <c r="E35" i="134"/>
  <c r="E34" i="134"/>
  <c r="E33" i="134"/>
  <c r="E32" i="134"/>
  <c r="E31" i="134"/>
  <c r="E30" i="134"/>
  <c r="E34" i="131"/>
  <c r="E33" i="131"/>
  <c r="E32" i="131"/>
  <c r="C29" i="130"/>
  <c r="E29" i="130" s="1"/>
  <c r="C28" i="130"/>
  <c r="E28" i="130" s="1"/>
  <c r="C27" i="130"/>
  <c r="E27" i="130" s="1"/>
  <c r="C26" i="130"/>
  <c r="E26" i="130" s="1"/>
  <c r="C25" i="130"/>
  <c r="E25" i="130" s="1"/>
  <c r="C24" i="130"/>
  <c r="E24" i="130" s="1"/>
  <c r="C23" i="130"/>
  <c r="E23" i="130" s="1"/>
  <c r="C22" i="130"/>
  <c r="E22" i="130" s="1"/>
  <c r="C21" i="130"/>
  <c r="E21" i="130" s="1"/>
  <c r="C20" i="130"/>
  <c r="E20" i="130" s="1"/>
  <c r="E42" i="129"/>
  <c r="E41" i="129"/>
  <c r="E36" i="129"/>
  <c r="E35" i="129"/>
  <c r="E34" i="129"/>
  <c r="E33" i="129"/>
  <c r="C68" i="134"/>
  <c r="C49" i="134" s="1"/>
  <c r="E66" i="134"/>
  <c r="E65" i="134"/>
  <c r="C30" i="126"/>
  <c r="E30" i="126" s="1"/>
  <c r="C58" i="129"/>
  <c r="C45" i="129"/>
  <c r="E52" i="133"/>
  <c r="E51" i="133"/>
  <c r="E50" i="133"/>
  <c r="E49" i="133"/>
  <c r="E48" i="133"/>
  <c r="E47" i="133"/>
  <c r="E45" i="133"/>
  <c r="E37" i="128"/>
  <c r="E39" i="128"/>
  <c r="E40" i="128"/>
  <c r="E65" i="133"/>
  <c r="E61" i="133"/>
  <c r="E55" i="133"/>
  <c r="E54" i="133"/>
  <c r="E53" i="133"/>
  <c r="E44" i="133"/>
  <c r="E43" i="133"/>
  <c r="E42" i="133"/>
  <c r="E39" i="133"/>
  <c r="E35" i="133"/>
  <c r="E31" i="133"/>
  <c r="E30" i="133"/>
  <c r="E27" i="133"/>
  <c r="E25" i="133"/>
  <c r="E22" i="133"/>
  <c r="E55" i="132"/>
  <c r="E54" i="132"/>
  <c r="E56" i="132"/>
  <c r="E52" i="132"/>
  <c r="E51" i="132"/>
  <c r="E53" i="132"/>
  <c r="C49" i="132"/>
  <c r="E49" i="132" s="1"/>
  <c r="C45" i="132"/>
  <c r="E45" i="132" s="1"/>
  <c r="E36" i="132"/>
  <c r="E70" i="132" s="1"/>
  <c r="E58" i="143" l="1"/>
  <c r="C36" i="143"/>
  <c r="E36" i="143" s="1"/>
  <c r="C37" i="143"/>
  <c r="E37" i="143" s="1"/>
  <c r="E68" i="134"/>
  <c r="C52" i="134"/>
  <c r="C51" i="134"/>
  <c r="E51" i="134" s="1"/>
  <c r="E66" i="133"/>
  <c r="E44" i="134"/>
  <c r="E27" i="134"/>
  <c r="E26" i="133"/>
  <c r="C38" i="133"/>
  <c r="E38" i="133" s="1"/>
  <c r="E34" i="143"/>
  <c r="E48" i="134"/>
  <c r="E50" i="130"/>
  <c r="E47" i="130"/>
  <c r="E46" i="130"/>
  <c r="E45" i="130"/>
  <c r="E81" i="129"/>
  <c r="E76" i="129"/>
  <c r="E75" i="129"/>
  <c r="E74" i="129"/>
  <c r="E60" i="128"/>
  <c r="E59" i="128"/>
  <c r="E58" i="128"/>
  <c r="E57" i="128"/>
  <c r="E56" i="128"/>
  <c r="E54" i="128"/>
  <c r="E53" i="128"/>
  <c r="E52" i="128"/>
  <c r="E51" i="128"/>
  <c r="E57" i="127"/>
  <c r="E53" i="127"/>
  <c r="E52" i="127"/>
  <c r="E51" i="127"/>
  <c r="E50" i="127"/>
  <c r="E49" i="127"/>
  <c r="E45" i="127"/>
  <c r="E44" i="127"/>
  <c r="E42" i="127"/>
  <c r="E41" i="127"/>
  <c r="E40" i="127"/>
  <c r="E39" i="127"/>
  <c r="E38" i="127"/>
  <c r="E37" i="127"/>
  <c r="E34" i="127"/>
  <c r="E29" i="127"/>
  <c r="E27" i="127"/>
  <c r="E26" i="127"/>
  <c r="E25" i="127"/>
  <c r="E24" i="127"/>
  <c r="E23" i="127"/>
  <c r="E48" i="127"/>
  <c r="E46" i="127"/>
  <c r="E43" i="127"/>
  <c r="E24" i="126"/>
  <c r="E49" i="134" l="1"/>
  <c r="E52" i="134"/>
  <c r="E71" i="128" l="1"/>
  <c r="E72" i="128"/>
  <c r="C40" i="131" l="1"/>
  <c r="E40" i="131" s="1"/>
  <c r="C32" i="130"/>
  <c r="E32" i="130" s="1"/>
  <c r="E46" i="129"/>
  <c r="E62" i="131" l="1"/>
  <c r="E44" i="131"/>
  <c r="E41" i="128"/>
  <c r="E44" i="129"/>
  <c r="E42" i="128"/>
  <c r="E30" i="130"/>
  <c r="E67" i="129"/>
  <c r="E66" i="129"/>
  <c r="E65" i="129"/>
  <c r="E43" i="129"/>
  <c r="E35" i="128" l="1"/>
  <c r="E30" i="128"/>
  <c r="E29" i="128"/>
  <c r="E32" i="128"/>
  <c r="C36" i="127"/>
  <c r="E36" i="127" s="1"/>
  <c r="C35" i="127"/>
  <c r="E35" i="127" s="1"/>
  <c r="C42" i="126"/>
  <c r="E42" i="126" s="1"/>
  <c r="C41" i="126"/>
  <c r="E41" i="126" s="1"/>
  <c r="C31" i="126"/>
  <c r="E31" i="126" s="1"/>
  <c r="C71" i="125"/>
  <c r="E71" i="125" s="1"/>
  <c r="C70" i="125"/>
  <c r="E70" i="125" s="1"/>
  <c r="C65" i="125"/>
  <c r="E65" i="125" s="1"/>
  <c r="E69" i="128" l="1"/>
  <c r="E67" i="128"/>
  <c r="C48" i="128"/>
  <c r="E48" i="128" s="1"/>
  <c r="C49" i="128"/>
  <c r="E49" i="128" s="1"/>
  <c r="E51" i="129" l="1"/>
  <c r="E43" i="128"/>
  <c r="E31" i="131" l="1"/>
  <c r="E19" i="130"/>
  <c r="E32" i="129"/>
  <c r="E63" i="129"/>
  <c r="E39" i="129"/>
  <c r="E60" i="131" l="1"/>
  <c r="E59" i="131"/>
  <c r="E58" i="131"/>
  <c r="E55" i="131"/>
  <c r="C52" i="131" l="1"/>
  <c r="E52" i="131" s="1"/>
  <c r="C51" i="131"/>
  <c r="E51" i="131" s="1"/>
  <c r="E42" i="131"/>
  <c r="C39" i="131"/>
  <c r="E39" i="131" s="1"/>
  <c r="E36" i="131"/>
  <c r="E35" i="131"/>
  <c r="E84" i="131" s="1"/>
  <c r="E45" i="131"/>
  <c r="C44" i="130" l="1"/>
  <c r="E44" i="130" s="1"/>
  <c r="C43" i="130"/>
  <c r="E43" i="130" s="1"/>
  <c r="C42" i="130"/>
  <c r="E42" i="130" s="1"/>
  <c r="C41" i="130"/>
  <c r="E41" i="130" s="1"/>
  <c r="C40" i="130"/>
  <c r="E40" i="130" s="1"/>
  <c r="E39" i="130"/>
  <c r="E38" i="130"/>
  <c r="E36" i="130"/>
  <c r="E37" i="130"/>
  <c r="C35" i="130"/>
  <c r="E35" i="130" s="1"/>
  <c r="C34" i="130"/>
  <c r="E34" i="130" s="1"/>
  <c r="C33" i="130"/>
  <c r="E33" i="130" s="1"/>
  <c r="C31" i="130"/>
  <c r="E31" i="130" s="1"/>
  <c r="E51" i="130" l="1"/>
  <c r="E64" i="129"/>
  <c r="E61" i="129"/>
  <c r="E49" i="129"/>
  <c r="E37" i="129"/>
  <c r="E73" i="129"/>
  <c r="E72" i="129"/>
  <c r="E71" i="129"/>
  <c r="E70" i="129"/>
  <c r="E69" i="129"/>
  <c r="E68" i="129"/>
  <c r="E62" i="129"/>
  <c r="C59" i="129" l="1"/>
  <c r="E59" i="129" s="1"/>
  <c r="E58" i="129"/>
  <c r="E57" i="129"/>
  <c r="E56" i="129"/>
  <c r="E54" i="129"/>
  <c r="E52" i="129"/>
  <c r="E48" i="129"/>
  <c r="E45" i="129"/>
  <c r="E40" i="129"/>
  <c r="E38" i="129"/>
  <c r="E31" i="129" l="1"/>
  <c r="E29" i="129"/>
  <c r="E82" i="129" s="1"/>
  <c r="E84" i="128" l="1"/>
  <c r="E80" i="128"/>
  <c r="E79" i="128"/>
  <c r="E78" i="128"/>
  <c r="E77" i="128"/>
  <c r="E76" i="128"/>
  <c r="E75" i="128"/>
  <c r="E73" i="128"/>
  <c r="E65" i="128"/>
  <c r="E36" i="128"/>
  <c r="E34" i="128"/>
  <c r="E33" i="128"/>
  <c r="E66" i="128"/>
  <c r="E64" i="128"/>
  <c r="E63" i="128"/>
  <c r="E62" i="128"/>
  <c r="E61" i="128"/>
  <c r="E50" i="128"/>
  <c r="E47" i="128"/>
  <c r="C46" i="128"/>
  <c r="E46" i="128" s="1"/>
  <c r="C45" i="128"/>
  <c r="E45" i="128" s="1"/>
  <c r="E85" i="128" l="1"/>
  <c r="E68" i="128"/>
  <c r="E30" i="127"/>
  <c r="C33" i="127"/>
  <c r="E33" i="127" s="1"/>
  <c r="C32" i="127"/>
  <c r="E32" i="127" s="1"/>
  <c r="C28" i="127"/>
  <c r="E28" i="127" s="1"/>
  <c r="E58" i="127" s="1"/>
  <c r="C38" i="126"/>
  <c r="E38" i="126" s="1"/>
  <c r="C37" i="126"/>
  <c r="E37" i="126" s="1"/>
  <c r="C33" i="126"/>
  <c r="E33" i="126" s="1"/>
  <c r="E58" i="126" s="1"/>
  <c r="E35" i="126"/>
  <c r="E34" i="126"/>
  <c r="C80" i="125" l="1"/>
  <c r="E80" i="125" s="1"/>
  <c r="E69" i="125"/>
  <c r="C67" i="125"/>
  <c r="E67" i="125" s="1"/>
  <c r="E31" i="125"/>
  <c r="C78" i="125"/>
  <c r="E78" i="125" s="1"/>
  <c r="C77" i="125"/>
  <c r="E77" i="125" s="1"/>
  <c r="C73" i="125"/>
  <c r="E73" i="125" s="1"/>
  <c r="C58" i="125"/>
  <c r="E58" i="125" s="1"/>
  <c r="E94" i="125" s="1"/>
  <c r="H66" i="122" l="1"/>
  <c r="H67" i="122" s="1"/>
  <c r="G60" i="122"/>
  <c r="F65" i="122" s="1"/>
  <c r="G65" i="122" s="1"/>
  <c r="B53" i="122"/>
  <c r="D53" i="122" s="1"/>
  <c r="B52" i="122"/>
  <c r="B51" i="122"/>
  <c r="D51" i="122" s="1"/>
  <c r="B50" i="122"/>
  <c r="D50" i="122" s="1"/>
  <c r="B49" i="122"/>
  <c r="D49" i="122" s="1"/>
  <c r="B46" i="122"/>
  <c r="D46" i="122" s="1"/>
  <c r="B45" i="122"/>
  <c r="D45" i="122" s="1"/>
  <c r="B36" i="122"/>
  <c r="D36" i="122" s="1"/>
  <c r="B28" i="122"/>
  <c r="B27" i="122" s="1"/>
  <c r="B19" i="122"/>
  <c r="B18" i="122"/>
  <c r="B46" i="121"/>
  <c r="D46" i="121" s="1"/>
  <c r="B45" i="121"/>
  <c r="D45" i="121" s="1"/>
  <c r="B18" i="121"/>
  <c r="H66" i="121"/>
  <c r="H67" i="121" s="1"/>
  <c r="G60" i="121"/>
  <c r="F66" i="121" s="1"/>
  <c r="G66" i="121" s="1"/>
  <c r="B53" i="121"/>
  <c r="D53" i="121" s="1"/>
  <c r="B52" i="121"/>
  <c r="B51" i="121"/>
  <c r="D51" i="121" s="1"/>
  <c r="B50" i="121"/>
  <c r="D50" i="121" s="1"/>
  <c r="B49" i="121"/>
  <c r="D49" i="121" s="1"/>
  <c r="B36" i="121"/>
  <c r="D36" i="121" s="1"/>
  <c r="B28" i="121"/>
  <c r="D28" i="121" s="1"/>
  <c r="B19" i="121"/>
  <c r="B22" i="121" s="1"/>
  <c r="B42" i="122" l="1"/>
  <c r="D42" i="122" s="1"/>
  <c r="B43" i="122"/>
  <c r="B35" i="122"/>
  <c r="F64" i="122"/>
  <c r="B30" i="122"/>
  <c r="F66" i="122"/>
  <c r="G66" i="122" s="1"/>
  <c r="B31" i="122"/>
  <c r="D31" i="122" s="1"/>
  <c r="B33" i="122"/>
  <c r="B34" i="122" s="1"/>
  <c r="D34" i="122" s="1"/>
  <c r="B54" i="122"/>
  <c r="D54" i="122" s="1"/>
  <c r="B22" i="122"/>
  <c r="D22" i="122" s="1"/>
  <c r="D28" i="122"/>
  <c r="D35" i="122"/>
  <c r="B39" i="122"/>
  <c r="D39" i="122" s="1"/>
  <c r="B29" i="122"/>
  <c r="D29" i="122" s="1"/>
  <c r="B41" i="122"/>
  <c r="D41" i="122" s="1"/>
  <c r="B23" i="122"/>
  <c r="B37" i="122"/>
  <c r="D37" i="122" s="1"/>
  <c r="B44" i="122"/>
  <c r="D44" i="122" s="1"/>
  <c r="B26" i="122"/>
  <c r="D26" i="122" s="1"/>
  <c r="D43" i="122"/>
  <c r="B24" i="122"/>
  <c r="D24" i="122" s="1"/>
  <c r="F67" i="122"/>
  <c r="G64" i="122"/>
  <c r="D23" i="122"/>
  <c r="B25" i="122"/>
  <c r="D25" i="122" s="1"/>
  <c r="D30" i="122"/>
  <c r="B32" i="122"/>
  <c r="D32" i="122" s="1"/>
  <c r="B38" i="122"/>
  <c r="D38" i="122" s="1"/>
  <c r="B40" i="122"/>
  <c r="D40" i="122" s="1"/>
  <c r="B43" i="121"/>
  <c r="D43" i="121" s="1"/>
  <c r="B38" i="121"/>
  <c r="D38" i="121" s="1"/>
  <c r="B27" i="121"/>
  <c r="B35" i="121"/>
  <c r="D35" i="121" s="1"/>
  <c r="B26" i="121"/>
  <c r="D26" i="121" s="1"/>
  <c r="B29" i="121"/>
  <c r="D29" i="121" s="1"/>
  <c r="B42" i="121"/>
  <c r="D42" i="121" s="1"/>
  <c r="B23" i="121"/>
  <c r="D23" i="121" s="1"/>
  <c r="B25" i="121"/>
  <c r="D25" i="121" s="1"/>
  <c r="B30" i="121"/>
  <c r="D30" i="121" s="1"/>
  <c r="B24" i="121"/>
  <c r="D24" i="121" s="1"/>
  <c r="B31" i="121"/>
  <c r="D31" i="121" s="1"/>
  <c r="B33" i="121"/>
  <c r="B37" i="121"/>
  <c r="D37" i="121" s="1"/>
  <c r="B39" i="121"/>
  <c r="D39" i="121" s="1"/>
  <c r="B41" i="121"/>
  <c r="D41" i="121" s="1"/>
  <c r="B44" i="121"/>
  <c r="D44" i="121" s="1"/>
  <c r="F65" i="121"/>
  <c r="G65" i="121" s="1"/>
  <c r="B32" i="121"/>
  <c r="D32" i="121" s="1"/>
  <c r="B40" i="121"/>
  <c r="D40" i="121" s="1"/>
  <c r="F64" i="121"/>
  <c r="D22" i="121"/>
  <c r="B33" i="120"/>
  <c r="D33" i="122" l="1"/>
  <c r="G67" i="122"/>
  <c r="D56" i="122"/>
  <c r="G64" i="121"/>
  <c r="G67" i="121" s="1"/>
  <c r="B54" i="121"/>
  <c r="D54" i="121" s="1"/>
  <c r="F67" i="121"/>
  <c r="B34" i="121"/>
  <c r="D34" i="121" s="1"/>
  <c r="D33" i="121"/>
  <c r="B41" i="120"/>
  <c r="D56" i="121" l="1"/>
  <c r="B37" i="120"/>
  <c r="D37" i="120" s="1"/>
  <c r="B27" i="120" l="1"/>
  <c r="B26" i="120"/>
  <c r="B35" i="120"/>
  <c r="B28" i="120"/>
  <c r="D28" i="120" s="1"/>
  <c r="B20" i="120"/>
  <c r="B42" i="120" l="1"/>
  <c r="D42" i="120" s="1"/>
  <c r="D41" i="120"/>
  <c r="B40" i="120"/>
  <c r="D40" i="120" s="1"/>
  <c r="D39" i="120"/>
  <c r="B38" i="120"/>
  <c r="D38" i="120" s="1"/>
  <c r="B36" i="120"/>
  <c r="D36" i="120" s="1"/>
  <c r="D35" i="120"/>
  <c r="D34" i="120"/>
  <c r="B29" i="120"/>
  <c r="D29" i="120" s="1"/>
  <c r="D20" i="120"/>
  <c r="B9" i="120"/>
  <c r="B34" i="120" s="1"/>
  <c r="B32" i="120" l="1"/>
  <c r="D32" i="120" s="1"/>
  <c r="B30" i="120"/>
  <c r="D30" i="120" s="1"/>
  <c r="B19" i="120"/>
  <c r="D19" i="120" s="1"/>
  <c r="B25" i="120"/>
  <c r="D25" i="120" s="1"/>
  <c r="B21" i="120"/>
  <c r="D21" i="120" s="1"/>
  <c r="B24" i="120"/>
  <c r="D24" i="120" s="1"/>
  <c r="D33" i="120"/>
  <c r="B31" i="120"/>
  <c r="D31" i="120" s="1"/>
  <c r="B23" i="120"/>
  <c r="D23" i="120" s="1"/>
  <c r="D26" i="120"/>
  <c r="D27" i="120"/>
  <c r="B22" i="120"/>
  <c r="D22" i="120" s="1"/>
  <c r="B32" i="119"/>
  <c r="D32" i="119" s="1"/>
  <c r="B24" i="119"/>
  <c r="D24" i="119" s="1"/>
  <c r="B23" i="119"/>
  <c r="D23" i="119" s="1"/>
  <c r="D43" i="120" l="1"/>
  <c r="B27" i="118"/>
  <c r="B14" i="119" l="1"/>
  <c r="B15" i="119"/>
  <c r="B35" i="119"/>
  <c r="B31" i="119"/>
  <c r="D31" i="119" s="1"/>
  <c r="B30" i="119"/>
  <c r="D30" i="119" s="1"/>
  <c r="B29" i="119"/>
  <c r="D29" i="119" s="1"/>
  <c r="B33" i="119"/>
  <c r="D33" i="119" s="1"/>
  <c r="B25" i="119"/>
  <c r="D25" i="119" s="1"/>
  <c r="B28" i="119"/>
  <c r="D28" i="119" s="1"/>
  <c r="B27" i="119"/>
  <c r="D27" i="119" s="1"/>
  <c r="D35" i="119" l="1"/>
  <c r="B22" i="119"/>
  <c r="D22" i="119" s="1"/>
  <c r="B21" i="119"/>
  <c r="D21" i="119" s="1"/>
  <c r="B20" i="119"/>
  <c r="D20" i="119" s="1"/>
  <c r="B19" i="119"/>
  <c r="D19" i="119" s="1"/>
  <c r="B18" i="119"/>
  <c r="D18" i="119" s="1"/>
  <c r="B16" i="119"/>
  <c r="D15" i="119"/>
  <c r="D14" i="119"/>
  <c r="B26" i="119" l="1"/>
  <c r="D26" i="119" s="1"/>
  <c r="D16" i="119"/>
  <c r="B17" i="119"/>
  <c r="D17" i="119" s="1"/>
  <c r="D34" i="118"/>
  <c r="D35" i="118"/>
  <c r="D36" i="118"/>
  <c r="B38" i="118"/>
  <c r="D38" i="118" s="1"/>
  <c r="B37" i="118"/>
  <c r="D37" i="118" s="1"/>
  <c r="B36" i="118"/>
  <c r="B34" i="118"/>
  <c r="B32" i="118"/>
  <c r="D32" i="118" s="1"/>
  <c r="B31" i="118"/>
  <c r="D31" i="118" s="1"/>
  <c r="B30" i="118"/>
  <c r="D30" i="118" s="1"/>
  <c r="D36" i="119" l="1"/>
  <c r="D17" i="118"/>
  <c r="B29" i="118" l="1"/>
  <c r="D29" i="118" s="1"/>
  <c r="B28" i="118"/>
  <c r="D28" i="118" s="1"/>
  <c r="B33" i="118"/>
  <c r="D33" i="118" s="1"/>
  <c r="B22" i="118"/>
  <c r="D22" i="118" s="1"/>
  <c r="B21" i="118"/>
  <c r="D21" i="118" s="1"/>
  <c r="D20" i="118"/>
  <c r="B18" i="118"/>
  <c r="D18" i="118" s="1"/>
  <c r="D23" i="118"/>
  <c r="D16" i="118"/>
  <c r="D27" i="118"/>
  <c r="D19" i="118"/>
  <c r="D33" i="56"/>
  <c r="B47" i="56"/>
  <c r="D39" i="118" l="1"/>
  <c r="B37" i="48"/>
  <c r="B21" i="48"/>
  <c r="B34" i="100" l="1"/>
  <c r="B33" i="56"/>
  <c r="B36" i="116" l="1"/>
  <c r="B35" i="116"/>
  <c r="D35" i="116" s="1"/>
  <c r="B34" i="116"/>
  <c r="D34" i="116" s="1"/>
  <c r="D36" i="116"/>
  <c r="B21" i="116"/>
  <c r="D21" i="116" s="1"/>
  <c r="B20" i="116"/>
  <c r="B24" i="116"/>
  <c r="D24" i="116" s="1"/>
  <c r="B33" i="116"/>
  <c r="D33" i="116" s="1"/>
  <c r="B32" i="116"/>
  <c r="D32" i="116" s="1"/>
  <c r="B31" i="116"/>
  <c r="D31" i="116" s="1"/>
  <c r="B29" i="116"/>
  <c r="D29" i="116" s="1"/>
  <c r="B27" i="116"/>
  <c r="D27" i="116" s="1"/>
  <c r="B26" i="116"/>
  <c r="D26" i="116" s="1"/>
  <c r="B25" i="116"/>
  <c r="D25" i="116" s="1"/>
  <c r="B22" i="116"/>
  <c r="D22" i="116" s="1"/>
  <c r="D20" i="116"/>
  <c r="B18" i="116"/>
  <c r="D18" i="116" s="1"/>
  <c r="B17" i="116"/>
  <c r="D17" i="116" s="1"/>
  <c r="B16" i="116"/>
  <c r="D16" i="116" s="1"/>
  <c r="B15" i="116"/>
  <c r="D15" i="116" s="1"/>
  <c r="B14" i="116"/>
  <c r="D14" i="116" s="1"/>
  <c r="B13" i="116"/>
  <c r="D13" i="116" s="1"/>
  <c r="B10" i="116"/>
  <c r="B28" i="116" s="1"/>
  <c r="D28" i="116" s="1"/>
  <c r="B39" i="116" l="1"/>
  <c r="B40" i="116" s="1"/>
  <c r="D40" i="116" s="1"/>
  <c r="B19" i="116"/>
  <c r="D19" i="116" s="1"/>
  <c r="B23" i="116"/>
  <c r="D23" i="116" s="1"/>
  <c r="B30" i="116"/>
  <c r="D30" i="116" s="1"/>
  <c r="D39" i="116"/>
  <c r="B46" i="115"/>
  <c r="B44" i="115"/>
  <c r="D44" i="115" s="1"/>
  <c r="D46" i="115"/>
  <c r="B28" i="115"/>
  <c r="D28" i="115" s="1"/>
  <c r="D64" i="115"/>
  <c r="D63" i="115"/>
  <c r="B59" i="115"/>
  <c r="D59" i="115" s="1"/>
  <c r="B57" i="115"/>
  <c r="B58" i="115" s="1"/>
  <c r="D58" i="115" s="1"/>
  <c r="B56" i="115"/>
  <c r="D56" i="115" s="1"/>
  <c r="B54" i="115"/>
  <c r="D54" i="115" s="1"/>
  <c r="B52" i="115"/>
  <c r="D52" i="115" s="1"/>
  <c r="B51" i="115"/>
  <c r="D51" i="115" s="1"/>
  <c r="B50" i="115"/>
  <c r="D50" i="115" s="1"/>
  <c r="B49" i="115"/>
  <c r="B60" i="115" s="1"/>
  <c r="D60" i="115" s="1"/>
  <c r="B38" i="115"/>
  <c r="D38" i="115" s="1"/>
  <c r="B37" i="115"/>
  <c r="D37" i="115" s="1"/>
  <c r="B36" i="115"/>
  <c r="D36" i="115" s="1"/>
  <c r="B35" i="115"/>
  <c r="D35" i="115" s="1"/>
  <c r="B34" i="115"/>
  <c r="D34" i="115" s="1"/>
  <c r="B33" i="115"/>
  <c r="D33" i="115" s="1"/>
  <c r="B22" i="115"/>
  <c r="D22" i="115" s="1"/>
  <c r="B17" i="115"/>
  <c r="B55" i="115" s="1"/>
  <c r="D55" i="115" s="1"/>
  <c r="B16" i="115"/>
  <c r="B45" i="115" l="1"/>
  <c r="D45" i="115" s="1"/>
  <c r="B25" i="115"/>
  <c r="D25" i="115" s="1"/>
  <c r="B39" i="115"/>
  <c r="D39" i="115" s="1"/>
  <c r="B27" i="115"/>
  <c r="D27" i="115" s="1"/>
  <c r="B41" i="115"/>
  <c r="D41" i="115" s="1"/>
  <c r="B43" i="115"/>
  <c r="D43" i="115" s="1"/>
  <c r="B21" i="115"/>
  <c r="D21" i="115" s="1"/>
  <c r="B31" i="115"/>
  <c r="D31" i="115" s="1"/>
  <c r="B32" i="115"/>
  <c r="D32" i="115" s="1"/>
  <c r="B23" i="115"/>
  <c r="D23" i="115" s="1"/>
  <c r="B20" i="115"/>
  <c r="D20" i="115" s="1"/>
  <c r="B24" i="115"/>
  <c r="D24" i="115" s="1"/>
  <c r="B29" i="115"/>
  <c r="D29" i="115" s="1"/>
  <c r="B40" i="115"/>
  <c r="D40" i="115" s="1"/>
  <c r="B42" i="115"/>
  <c r="D42" i="115" s="1"/>
  <c r="B53" i="115"/>
  <c r="D53" i="115" s="1"/>
  <c r="D49" i="115"/>
  <c r="D57" i="115"/>
  <c r="B26" i="115"/>
  <c r="D26" i="115" s="1"/>
  <c r="B30" i="115"/>
  <c r="D30" i="115" s="1"/>
  <c r="B30" i="103"/>
  <c r="B29" i="103"/>
  <c r="B28" i="103"/>
  <c r="B27" i="103"/>
  <c r="B26" i="103"/>
  <c r="B21" i="103"/>
  <c r="B20" i="103"/>
  <c r="B25" i="103"/>
  <c r="B24" i="103"/>
  <c r="B23" i="103"/>
  <c r="B22" i="103"/>
  <c r="B31" i="10"/>
  <c r="D31" i="10" s="1"/>
  <c r="B30" i="10"/>
  <c r="D30" i="10" s="1"/>
  <c r="B32" i="10"/>
  <c r="D32" i="10" s="1"/>
  <c r="B29" i="10"/>
  <c r="D29" i="10" s="1"/>
  <c r="B36" i="9"/>
  <c r="D36" i="9" s="1"/>
  <c r="B35" i="9"/>
  <c r="D35" i="9" s="1"/>
  <c r="B38" i="10"/>
  <c r="D38" i="10" s="1"/>
  <c r="B43" i="9"/>
  <c r="D43" i="9" s="1"/>
  <c r="B42" i="9"/>
  <c r="D42" i="9" s="1"/>
  <c r="B36" i="10"/>
  <c r="D36" i="10" s="1"/>
  <c r="B37" i="10"/>
  <c r="D37" i="10" s="1"/>
  <c r="B35" i="10"/>
  <c r="D35" i="10" s="1"/>
  <c r="B34" i="10"/>
  <c r="D34" i="10" s="1"/>
  <c r="B39" i="9"/>
  <c r="B20" i="10"/>
  <c r="D20" i="10" s="1"/>
  <c r="B21" i="10"/>
  <c r="D21" i="10" s="1"/>
  <c r="B22" i="10"/>
  <c r="B12" i="10"/>
  <c r="B13" i="10" s="1"/>
  <c r="B16" i="10" s="1"/>
  <c r="B41" i="9"/>
  <c r="D41" i="9" s="1"/>
  <c r="B34" i="9"/>
  <c r="D34" i="9" s="1"/>
  <c r="B51" i="9"/>
  <c r="B40" i="9"/>
  <c r="B37" i="9"/>
  <c r="D37" i="9" s="1"/>
  <c r="D65" i="115" l="1"/>
  <c r="B33" i="10"/>
  <c r="D33" i="10" s="1"/>
  <c r="B19" i="10"/>
  <c r="B28" i="10"/>
  <c r="D28" i="10" s="1"/>
  <c r="B33" i="9"/>
  <c r="B15" i="9"/>
  <c r="B38" i="9" l="1"/>
  <c r="B32" i="9"/>
  <c r="B18" i="9"/>
  <c r="B21" i="9"/>
  <c r="B17" i="113"/>
  <c r="D17" i="113" s="1"/>
  <c r="B16" i="113"/>
  <c r="D16" i="113" s="1"/>
  <c r="B18" i="113"/>
  <c r="D18" i="113" s="1"/>
  <c r="B16" i="109"/>
  <c r="D16" i="109" s="1"/>
  <c r="B15" i="109"/>
  <c r="D15" i="109" s="1"/>
  <c r="B17" i="109"/>
  <c r="D17" i="109" s="1"/>
  <c r="B32" i="103"/>
  <c r="D32" i="103" s="1"/>
  <c r="B31" i="103"/>
  <c r="D31" i="103" s="1"/>
  <c r="D29" i="103"/>
  <c r="D28" i="103"/>
  <c r="D27" i="103"/>
  <c r="D26" i="103"/>
  <c r="D25" i="103"/>
  <c r="D24" i="103"/>
  <c r="D23" i="103"/>
  <c r="D22" i="103"/>
  <c r="D30" i="103"/>
  <c r="D21" i="103"/>
  <c r="B19" i="103"/>
  <c r="B17" i="103"/>
  <c r="B15" i="103"/>
  <c r="B14" i="103"/>
  <c r="B49" i="100"/>
  <c r="B36" i="100" l="1"/>
  <c r="D36" i="100" s="1"/>
  <c r="B24" i="100"/>
  <c r="B25" i="100" s="1"/>
  <c r="D25" i="100" s="1"/>
  <c r="B58" i="100"/>
  <c r="D58" i="100" s="1"/>
  <c r="B57" i="100"/>
  <c r="D57" i="100" s="1"/>
  <c r="B56" i="100"/>
  <c r="D56" i="100" s="1"/>
  <c r="B55" i="100"/>
  <c r="D55" i="100" s="1"/>
  <c r="B54" i="100"/>
  <c r="D54" i="100" s="1"/>
  <c r="B53" i="100"/>
  <c r="D53" i="100" s="1"/>
  <c r="B52" i="100"/>
  <c r="D52" i="100" s="1"/>
  <c r="B51" i="100"/>
  <c r="D51" i="100" s="1"/>
  <c r="B50" i="100"/>
  <c r="D50" i="100" s="1"/>
  <c r="D49" i="100"/>
  <c r="B48" i="100"/>
  <c r="D48" i="100" s="1"/>
  <c r="B47" i="100"/>
  <c r="D47" i="100" s="1"/>
  <c r="B46" i="100"/>
  <c r="D46" i="100" s="1"/>
  <c r="B45" i="100"/>
  <c r="D45" i="100" s="1"/>
  <c r="B44" i="100"/>
  <c r="D44" i="100" s="1"/>
  <c r="B43" i="100"/>
  <c r="D43" i="100" s="1"/>
  <c r="B42" i="100"/>
  <c r="D42" i="100" s="1"/>
  <c r="B41" i="100"/>
  <c r="D41" i="100" s="1"/>
  <c r="B40" i="100"/>
  <c r="D40" i="100" s="1"/>
  <c r="B39" i="100"/>
  <c r="D39" i="100" s="1"/>
  <c r="B38" i="100"/>
  <c r="D38" i="100" s="1"/>
  <c r="B35" i="100"/>
  <c r="B33" i="100"/>
  <c r="D33" i="100" s="1"/>
  <c r="B32" i="100"/>
  <c r="D32" i="100" s="1"/>
  <c r="B31" i="100"/>
  <c r="D31" i="100" s="1"/>
  <c r="B30" i="100"/>
  <c r="D30" i="100" s="1"/>
  <c r="B29" i="100"/>
  <c r="D29" i="100" s="1"/>
  <c r="B28" i="100"/>
  <c r="D28" i="100" s="1"/>
  <c r="B26" i="100"/>
  <c r="D26" i="100" s="1"/>
  <c r="B23" i="100"/>
  <c r="D23" i="100" s="1"/>
  <c r="B41" i="94"/>
  <c r="B40" i="94"/>
  <c r="D40" i="94" s="1"/>
  <c r="B39" i="94"/>
  <c r="D39" i="94" s="1"/>
  <c r="B38" i="94"/>
  <c r="D38" i="94" s="1"/>
  <c r="B37" i="94"/>
  <c r="B36" i="94"/>
  <c r="D36" i="94" s="1"/>
  <c r="B35" i="94"/>
  <c r="D35" i="94" s="1"/>
  <c r="B34" i="94"/>
  <c r="D34" i="94" s="1"/>
  <c r="B33" i="94"/>
  <c r="D33" i="94" s="1"/>
  <c r="B32" i="94"/>
  <c r="D32" i="94" s="1"/>
  <c r="B31" i="94"/>
  <c r="D31" i="94" s="1"/>
  <c r="B30" i="94"/>
  <c r="D30" i="94" s="1"/>
  <c r="B29" i="94"/>
  <c r="D29" i="94" s="1"/>
  <c r="B28" i="94"/>
  <c r="D28" i="94" s="1"/>
  <c r="B27" i="94"/>
  <c r="D27" i="94" s="1"/>
  <c r="D41" i="94"/>
  <c r="D37" i="94"/>
  <c r="B26" i="94"/>
  <c r="B24" i="94"/>
  <c r="B23" i="94"/>
  <c r="B22" i="94"/>
  <c r="B21" i="94"/>
  <c r="B20" i="94"/>
  <c r="B18" i="94"/>
  <c r="B16" i="94"/>
  <c r="B15" i="94"/>
  <c r="B56" i="56"/>
  <c r="D56" i="56" s="1"/>
  <c r="B55" i="56"/>
  <c r="D55" i="56" s="1"/>
  <c r="B54" i="56"/>
  <c r="D54" i="56" s="1"/>
  <c r="B53" i="56"/>
  <c r="D53" i="56" s="1"/>
  <c r="B52" i="56"/>
  <c r="D52" i="56" s="1"/>
  <c r="B51" i="56"/>
  <c r="D51" i="56" s="1"/>
  <c r="B50" i="56"/>
  <c r="D50" i="56" s="1"/>
  <c r="B49" i="56"/>
  <c r="D49" i="56" s="1"/>
  <c r="B48" i="56"/>
  <c r="D48" i="56" s="1"/>
  <c r="B46" i="56"/>
  <c r="D46" i="56" s="1"/>
  <c r="B45" i="56"/>
  <c r="D45" i="56" s="1"/>
  <c r="B44" i="56"/>
  <c r="D44" i="56" s="1"/>
  <c r="B43" i="56"/>
  <c r="D43" i="56" s="1"/>
  <c r="B42" i="56"/>
  <c r="D42" i="56" s="1"/>
  <c r="D47" i="56"/>
  <c r="B41" i="56"/>
  <c r="B40" i="56"/>
  <c r="B38" i="56"/>
  <c r="B37" i="56"/>
  <c r="B32" i="56"/>
  <c r="B31" i="56"/>
  <c r="B30" i="56"/>
  <c r="D24" i="100" l="1"/>
  <c r="B37" i="100"/>
  <c r="D37" i="100" s="1"/>
  <c r="D35" i="100"/>
  <c r="B27" i="100"/>
  <c r="D27" i="100" s="1"/>
  <c r="B29" i="56"/>
  <c r="B28" i="56"/>
  <c r="B27" i="56"/>
  <c r="B25" i="56" s="1"/>
  <c r="B23" i="56"/>
  <c r="D23" i="56" s="1"/>
  <c r="D59" i="100" l="1"/>
  <c r="B36" i="48"/>
  <c r="B35" i="48"/>
  <c r="B34" i="48"/>
  <c r="B32" i="48"/>
  <c r="B52" i="48"/>
  <c r="D52" i="48" s="1"/>
  <c r="B51" i="48"/>
  <c r="D51" i="48" s="1"/>
  <c r="C37" i="8"/>
  <c r="E37" i="8" s="1"/>
  <c r="B25" i="48"/>
  <c r="B22" i="48"/>
  <c r="B31" i="48" l="1"/>
  <c r="B30" i="48"/>
  <c r="B45" i="48"/>
  <c r="D45" i="48" s="1"/>
  <c r="B44" i="48"/>
  <c r="D44" i="48" s="1"/>
  <c r="B43" i="48"/>
  <c r="D43" i="48" s="1"/>
  <c r="B42" i="48"/>
  <c r="D42" i="48" s="1"/>
  <c r="B53" i="48"/>
  <c r="D53" i="48" s="1"/>
  <c r="B50" i="48"/>
  <c r="D50" i="48" s="1"/>
  <c r="B49" i="48"/>
  <c r="D49" i="48" s="1"/>
  <c r="B47" i="48"/>
  <c r="D47" i="48" s="1"/>
  <c r="B48" i="48"/>
  <c r="D48" i="48" s="1"/>
  <c r="B46" i="48"/>
  <c r="D46" i="48" s="1"/>
  <c r="B40" i="48"/>
  <c r="B39" i="48"/>
  <c r="B38" i="48"/>
  <c r="E29" i="8"/>
  <c r="E27" i="8"/>
  <c r="C35" i="8" l="1"/>
  <c r="E35" i="8" s="1"/>
  <c r="C38" i="8"/>
  <c r="C36" i="8"/>
  <c r="E36" i="8" s="1"/>
  <c r="E34" i="8"/>
  <c r="E38" i="8" l="1"/>
  <c r="B15" i="113" l="1"/>
  <c r="D15" i="113" s="1"/>
  <c r="B14" i="113"/>
  <c r="B13" i="113" s="1"/>
  <c r="D13" i="113" s="1"/>
  <c r="B12" i="113"/>
  <c r="D12" i="113" s="1"/>
  <c r="B10" i="113"/>
  <c r="D10" i="113" s="1"/>
  <c r="B9" i="113"/>
  <c r="D9" i="113" s="1"/>
  <c r="B11" i="113"/>
  <c r="D11" i="113" s="1"/>
  <c r="B9" i="109"/>
  <c r="D9" i="109" s="1"/>
  <c r="B14" i="109"/>
  <c r="D14" i="109" s="1"/>
  <c r="B13" i="109"/>
  <c r="B12" i="109" s="1"/>
  <c r="D12" i="109" s="1"/>
  <c r="B11" i="109"/>
  <c r="D11" i="109" s="1"/>
  <c r="B8" i="109"/>
  <c r="D8" i="109" s="1"/>
  <c r="B10" i="109"/>
  <c r="D10" i="109" s="1"/>
  <c r="D19" i="103"/>
  <c r="D20" i="103"/>
  <c r="D17" i="103"/>
  <c r="D14" i="103"/>
  <c r="D26" i="94"/>
  <c r="D23" i="94"/>
  <c r="D22" i="94"/>
  <c r="D21" i="94"/>
  <c r="D20" i="94"/>
  <c r="B19" i="94"/>
  <c r="D19" i="94" s="1"/>
  <c r="D30" i="48"/>
  <c r="D18" i="94"/>
  <c r="D15" i="94"/>
  <c r="D36" i="48"/>
  <c r="D28" i="56"/>
  <c r="B26" i="56"/>
  <c r="D32" i="56"/>
  <c r="B35" i="56"/>
  <c r="D35" i="56" s="1"/>
  <c r="B39" i="56"/>
  <c r="D39" i="56" s="1"/>
  <c r="D41" i="56"/>
  <c r="B36" i="56"/>
  <c r="D36" i="56" s="1"/>
  <c r="D25" i="56"/>
  <c r="D37" i="56"/>
  <c r="D40" i="56"/>
  <c r="D38" i="56"/>
  <c r="D25" i="48"/>
  <c r="B27" i="48"/>
  <c r="D27" i="48" s="1"/>
  <c r="B28" i="48"/>
  <c r="D28" i="48" s="1"/>
  <c r="D38" i="48"/>
  <c r="D21" i="48"/>
  <c r="D22" i="48"/>
  <c r="B23" i="48"/>
  <c r="D23" i="48" s="1"/>
  <c r="B24" i="48"/>
  <c r="D24" i="48" s="1"/>
  <c r="D32" i="48"/>
  <c r="D39" i="48"/>
  <c r="B26" i="48"/>
  <c r="D26" i="48" s="1"/>
  <c r="D40" i="48"/>
  <c r="D34" i="48"/>
  <c r="D31" i="48"/>
  <c r="B41" i="48"/>
  <c r="D41" i="48" s="1"/>
  <c r="D37" i="48"/>
  <c r="B29" i="48"/>
  <c r="D29" i="48" s="1"/>
  <c r="B30" i="9"/>
  <c r="D30" i="9" s="1"/>
  <c r="B26" i="10"/>
  <c r="D26" i="10" s="1"/>
  <c r="B23" i="10"/>
  <c r="D23" i="10" s="1"/>
  <c r="D22" i="10"/>
  <c r="B24" i="10"/>
  <c r="D24" i="10" s="1"/>
  <c r="B25" i="10"/>
  <c r="D25" i="10" s="1"/>
  <c r="B27" i="10"/>
  <c r="D27" i="10" s="1"/>
  <c r="B41" i="10"/>
  <c r="D41" i="10" s="1"/>
  <c r="B42" i="10"/>
  <c r="D42" i="10" s="1"/>
  <c r="B40" i="10"/>
  <c r="D40" i="10" s="1"/>
  <c r="D16" i="10"/>
  <c r="B17" i="10"/>
  <c r="D17" i="10" s="1"/>
  <c r="D32" i="9"/>
  <c r="B31" i="9"/>
  <c r="D31" i="9" s="1"/>
  <c r="B24" i="9"/>
  <c r="D24" i="9" s="1"/>
  <c r="B45" i="9"/>
  <c r="D45" i="9" s="1"/>
  <c r="D51" i="9"/>
  <c r="B48" i="9"/>
  <c r="B49" i="9"/>
  <c r="D49" i="9" s="1"/>
  <c r="B27" i="9"/>
  <c r="D27" i="9" s="1"/>
  <c r="B26" i="9"/>
  <c r="D26" i="9" s="1"/>
  <c r="B19" i="9"/>
  <c r="D19" i="9" s="1"/>
  <c r="B44" i="9"/>
  <c r="D44" i="9" s="1"/>
  <c r="B46" i="9"/>
  <c r="D46" i="9" s="1"/>
  <c r="B47" i="9"/>
  <c r="D47" i="9" s="1"/>
  <c r="D40" i="9"/>
  <c r="D39" i="9"/>
  <c r="D33" i="9"/>
  <c r="B28" i="9"/>
  <c r="D28" i="9" s="1"/>
  <c r="B22" i="9"/>
  <c r="B23" i="9" s="1"/>
  <c r="D23" i="9" s="1"/>
  <c r="B20" i="9"/>
  <c r="D20" i="9" s="1"/>
  <c r="D18" i="9"/>
  <c r="E33" i="8"/>
  <c r="E32" i="8"/>
  <c r="E31" i="8"/>
  <c r="E30" i="8"/>
  <c r="E26" i="8"/>
  <c r="E25" i="8"/>
  <c r="E23" i="8"/>
  <c r="E22" i="8"/>
  <c r="E19" i="8"/>
  <c r="C17" i="8"/>
  <c r="E17" i="8" s="1"/>
  <c r="D19" i="10" l="1"/>
  <c r="B18" i="10"/>
  <c r="D18" i="10" s="1"/>
  <c r="D43" i="10" s="1"/>
  <c r="D21" i="9"/>
  <c r="D38" i="9"/>
  <c r="B25" i="9"/>
  <c r="D25" i="9" s="1"/>
  <c r="D22" i="9"/>
  <c r="B29" i="9"/>
  <c r="D29" i="9" s="1"/>
  <c r="D14" i="113"/>
  <c r="D19" i="113" s="1"/>
  <c r="D13" i="109"/>
  <c r="D18" i="109" s="1"/>
  <c r="B18" i="103"/>
  <c r="D18" i="103" s="1"/>
  <c r="D26" i="56"/>
  <c r="B24" i="56"/>
  <c r="D24" i="56" s="1"/>
  <c r="D27" i="56"/>
  <c r="B34" i="56"/>
  <c r="D34" i="56" s="1"/>
  <c r="E16" i="8"/>
  <c r="E18" i="8"/>
  <c r="E21" i="8"/>
  <c r="E20" i="8"/>
  <c r="B50" i="9"/>
  <c r="D50" i="9" s="1"/>
  <c r="D48" i="9"/>
  <c r="D15" i="103"/>
  <c r="B16" i="103"/>
  <c r="D16" i="103" s="1"/>
  <c r="D33" i="103" s="1"/>
  <c r="B33" i="48"/>
  <c r="D33" i="48" s="1"/>
  <c r="D35" i="48"/>
  <c r="D16" i="94"/>
  <c r="B17" i="94"/>
  <c r="D17" i="94" s="1"/>
  <c r="D31" i="56"/>
  <c r="D30" i="56"/>
  <c r="D29" i="56"/>
  <c r="D24" i="94"/>
  <c r="B25" i="94"/>
  <c r="D25" i="94" s="1"/>
  <c r="D52" i="9" l="1"/>
  <c r="D42" i="94"/>
  <c r="D57" i="56"/>
  <c r="D54" i="48"/>
  <c r="E39" i="8"/>
  <c r="E63" i="134"/>
  <c r="E78" i="134" s="1"/>
</calcChain>
</file>

<file path=xl/sharedStrings.xml><?xml version="1.0" encoding="utf-8"?>
<sst xmlns="http://schemas.openxmlformats.org/spreadsheetml/2006/main" count="3373" uniqueCount="809">
  <si>
    <t>Кол-во</t>
  </si>
  <si>
    <t>Высота (м)</t>
  </si>
  <si>
    <t>Кол-во (шт)</t>
  </si>
  <si>
    <t>Красные графы обязательны для заполнения!!!</t>
  </si>
  <si>
    <t>Цена</t>
  </si>
  <si>
    <t>Наименование</t>
  </si>
  <si>
    <t>Ширина (м)</t>
  </si>
  <si>
    <t>Товар (деталь)</t>
  </si>
  <si>
    <t>Сумма</t>
  </si>
  <si>
    <t>Итого</t>
  </si>
  <si>
    <t>Ширина  (м)</t>
  </si>
  <si>
    <t>Крепление на шурупы (Базовая комплектация)</t>
  </si>
  <si>
    <t>Кол-во в упаковке</t>
  </si>
  <si>
    <t>кол-во</t>
  </si>
  <si>
    <t xml:space="preserve">Короб белый UNI </t>
  </si>
  <si>
    <t xml:space="preserve">Крышка нижняя боковая, белая UNI </t>
  </si>
  <si>
    <t xml:space="preserve">Направляющая 34мм, белая UNI </t>
  </si>
  <si>
    <t xml:space="preserve">Планка нижняя стальная, белая </t>
  </si>
  <si>
    <t xml:space="preserve">Лента клейкая двусторонняя, 9мм, белая </t>
  </si>
  <si>
    <t xml:space="preserve">Лента клейкая д/трубы 12мм </t>
  </si>
  <si>
    <t xml:space="preserve">Пластиковая полоса-фиксатор клейкая 7мм </t>
  </si>
  <si>
    <t xml:space="preserve">Уплотнитель нижней планки, белый UNI </t>
  </si>
  <si>
    <t>Дополнительная комплектация</t>
  </si>
  <si>
    <t xml:space="preserve">Плитка подкладочная белая, пара UNI </t>
  </si>
  <si>
    <t xml:space="preserve">Доп профиль белый UNI </t>
  </si>
  <si>
    <r>
      <t>Лента клейкая двусторонняя, 9мм, белая (</t>
    </r>
    <r>
      <rPr>
        <sz val="8"/>
        <color indexed="10"/>
        <rFont val="Arial Cyr"/>
        <family val="2"/>
        <charset val="204"/>
      </rPr>
      <t>дополнительно</t>
    </r>
    <r>
      <rPr>
        <sz val="8"/>
        <rFont val="Arial Cyr"/>
        <charset val="204"/>
      </rPr>
      <t>)</t>
    </r>
  </si>
  <si>
    <t>Итого сумма</t>
  </si>
  <si>
    <t>Направляющая тип "С", белая UNI</t>
  </si>
  <si>
    <t>Цена одинакова на белую и коричневую комплектацию</t>
  </si>
  <si>
    <t>Не изменять</t>
  </si>
  <si>
    <t>-</t>
  </si>
  <si>
    <t>Боковая фиксация (леска)</t>
  </si>
  <si>
    <t>Тип установки</t>
  </si>
  <si>
    <t>0 - нет, 1 - да</t>
  </si>
  <si>
    <t>1 - саморезы; 2 - скотч; 
3 - кронштейны ПВХ</t>
  </si>
  <si>
    <t>Крепление на скотч</t>
  </si>
  <si>
    <t>Тип размера по ширине</t>
  </si>
  <si>
    <t>1 - по ткани; 2 - по ГИ</t>
  </si>
  <si>
    <t>Магниты</t>
  </si>
  <si>
    <t>Уплотнитель нижней планки, м</t>
  </si>
  <si>
    <t>Леска 0,7 мм, м</t>
  </si>
  <si>
    <t>Направляющая лески, шт.</t>
  </si>
  <si>
    <t>Кронштейн для окон ПВХ верхний, белый MINI, шт.</t>
  </si>
  <si>
    <t>Кронштейн нижний, шт.</t>
  </si>
  <si>
    <t>Платформа для скотча MINI, шт.</t>
  </si>
  <si>
    <t>Скотч для UNI/MINI, шт.</t>
  </si>
  <si>
    <t>Магнит под шуруп 10x3 мм, шт.</t>
  </si>
  <si>
    <t>Шуруп 3x10  под магнит, шт.</t>
  </si>
  <si>
    <t>Полоса магнитная, м</t>
  </si>
  <si>
    <t>Пластиковая полоса-фиксатор клейкая 7мм, м</t>
  </si>
  <si>
    <t>Лента клейкая д/трубы 12мм, м</t>
  </si>
  <si>
    <t>Планка нижняя, м</t>
  </si>
  <si>
    <t>Крышка нижняя боковая, шт.</t>
  </si>
  <si>
    <t>Количество изделий, шт.</t>
  </si>
  <si>
    <t>Наклонные</t>
  </si>
  <si>
    <t>Наклонные (трос)</t>
  </si>
  <si>
    <t>Держатель НК</t>
  </si>
  <si>
    <t>Валанс</t>
  </si>
  <si>
    <t>ПВХ</t>
  </si>
  <si>
    <t>ПВХ кронштейны</t>
  </si>
  <si>
    <t>Ширина ламели (25 или 16)</t>
  </si>
  <si>
    <t>16 или 25</t>
  </si>
  <si>
    <t xml:space="preserve">Количество лесенок(суппортов), шт. </t>
  </si>
  <si>
    <t>Ключ для крепления к окнам ПВХ, шт.</t>
  </si>
  <si>
    <t>Болт для кронштейна ПВХ, шт.</t>
  </si>
  <si>
    <t>Веревка 1.2 мм, м</t>
  </si>
  <si>
    <t>Держатель нижнего карниза, шт.</t>
  </si>
  <si>
    <t>Заглушка, шт.</t>
  </si>
  <si>
    <t>Карниз верхний 25х24, м</t>
  </si>
  <si>
    <t>Карниз нижний, м</t>
  </si>
  <si>
    <t>Клипс для ленты 16 мм, м</t>
  </si>
  <si>
    <t>Клипс для ленты 25 мм, м</t>
  </si>
  <si>
    <t>Кронштейн, шт.</t>
  </si>
  <si>
    <t>Кронштейн для горизонтального валанса, шт.</t>
  </si>
  <si>
    <t>Крышка боковая верхняя, шт.</t>
  </si>
  <si>
    <t>Крышка боковая нижняя, шт.</t>
  </si>
  <si>
    <t>Лесенка 12.5x18 16 мм, м</t>
  </si>
  <si>
    <t>Лесенка 21.5x28 25 мм, м</t>
  </si>
  <si>
    <t>Кольцо стопорное с винтом, шт.</t>
  </si>
  <si>
    <t>Кронштейн нижний тип В пластмассовый, шт.</t>
  </si>
  <si>
    <t>Пружина, шт.</t>
  </si>
  <si>
    <t>Трос металлический, м</t>
  </si>
  <si>
    <t>Кронштейн для окон ПВХ верхний, шт.</t>
  </si>
  <si>
    <t>Кронштейн для окон ПВХ нижний, шт.</t>
  </si>
  <si>
    <t>Расчет стоимости 1"</t>
  </si>
  <si>
    <t>Артикул</t>
  </si>
  <si>
    <t xml:space="preserve">Количество несущих отверстий, шт. </t>
  </si>
  <si>
    <t xml:space="preserve">Количество суппортов, шт. </t>
  </si>
  <si>
    <t>Полоса (кол-во ламелей), шт.</t>
  </si>
  <si>
    <t>Валанс, шт.</t>
  </si>
  <si>
    <t>Нижний карниз, шт.</t>
  </si>
  <si>
    <t>Профили</t>
  </si>
  <si>
    <t>Веревка 1.4 мм, м</t>
  </si>
  <si>
    <t>Лесенка 21.5x30, м</t>
  </si>
  <si>
    <t>Клипс на полосу 1", прозрачный, шт.</t>
  </si>
  <si>
    <t>Кронштейн боковой для 1", металлический, шт.</t>
  </si>
  <si>
    <t>Кронштейн центральный для 1", металлический, шт.</t>
  </si>
  <si>
    <t>Крышка боковая для 1", металлическая, шт.</t>
  </si>
  <si>
    <t>Заглушка в ниж карниз (бамбук или дерево), шт.</t>
  </si>
  <si>
    <t>Дополнительная комплектация UNI 1 на скотч, шт.</t>
  </si>
  <si>
    <t xml:space="preserve"> </t>
  </si>
  <si>
    <t>1 - да, 0 - нет</t>
  </si>
  <si>
    <t>Установка на скотч</t>
  </si>
  <si>
    <t>Отвес нижний для зебры UNI 10мм</t>
  </si>
  <si>
    <t xml:space="preserve">Шуруп 3*12мм </t>
  </si>
  <si>
    <t>Профиль дополнительный для UNI зебра</t>
  </si>
  <si>
    <t>Плитка подкладочная белая, пара UNI</t>
  </si>
  <si>
    <t>Направляющая плоская, белая UNI</t>
  </si>
  <si>
    <t>Трубка нижняя 12мм, зебра</t>
  </si>
  <si>
    <t>Скотч 30х15 для зебры</t>
  </si>
  <si>
    <t>Защелка для кронштейна накидного, регулируемого</t>
  </si>
  <si>
    <t>Кронштейн накидной, регулируемый</t>
  </si>
  <si>
    <t>Заглушка для трубки нижней 12мм прозрачная, зебра</t>
  </si>
  <si>
    <t>Профиль дополнительный зебра</t>
  </si>
  <si>
    <t>Заглушка для профиля дополнительного зебра</t>
  </si>
  <si>
    <t>Крышка нижняя для боковой напрявляющей, белый, пара</t>
  </si>
  <si>
    <t>Итого:</t>
  </si>
  <si>
    <t>Изделий 45 мм с монтажным профилем, шт.</t>
  </si>
  <si>
    <t>Изделий 45 мм, кол-во шт.</t>
  </si>
  <si>
    <t>Трос, кол-во стеновых комплектов</t>
  </si>
  <si>
    <t>Трос, кол-во потолочных комплектов</t>
  </si>
  <si>
    <t>Крышка кронштейна 32</t>
  </si>
  <si>
    <t>Заглушка нижней рейки</t>
  </si>
  <si>
    <t>Рейка нижняя алюминий под полосу, белая 5м</t>
  </si>
  <si>
    <t>Полоса-фиксатор 9мм</t>
  </si>
  <si>
    <t>Крышка кронштейна 45</t>
  </si>
  <si>
    <t>Крышка кронштейна 45+</t>
  </si>
  <si>
    <t>Профиль монтажный (LVT)</t>
  </si>
  <si>
    <t>Механизм упр. цепь 45 для монтажного профиля</t>
  </si>
  <si>
    <t>Заглушка нижней рейки, бок. фиксация</t>
  </si>
  <si>
    <t>Комплект потолочных кронштейнов, бок. фиксация</t>
  </si>
  <si>
    <t>Комплект стеновых кронштейнов, бок. фиксация</t>
  </si>
  <si>
    <t>Фиксатор троса, бок. фиксация</t>
  </si>
  <si>
    <t>Трос стальной 1.2 мм, бок. фиксация</t>
  </si>
  <si>
    <t>Кронштейн потолочный открытой кассеты 32</t>
  </si>
  <si>
    <t>Крышка удл. кронштейна 32 для монтажного профиля</t>
  </si>
  <si>
    <t>Пластиковая полоса-фиксатор клейкая 7мм</t>
  </si>
  <si>
    <t>Механизм упр. цепь кассеты 45, левый (комплект)</t>
  </si>
  <si>
    <t>Механизм упр. цепь кассеты 45, правый (комплект)</t>
  </si>
  <si>
    <t>Механизм упр. цепь закр кассеты 32+, левый (комп)</t>
  </si>
  <si>
    <t>Профиль соединительный закрытой кассеты 32</t>
  </si>
  <si>
    <t>Профиль соединительный закрытой кассеты 45</t>
  </si>
  <si>
    <t>Профиль лицевой закрытой кассеты 32, без паза</t>
  </si>
  <si>
    <t>Профиль лицевой закрытой кассеты 32, с пазом</t>
  </si>
  <si>
    <t>Профиль лицевой закрытой кассеты 45, без паза</t>
  </si>
  <si>
    <t>Профиль лицевой закрытой кассеты 45, с пазом</t>
  </si>
  <si>
    <t>Кронштейн потолочный закрытой кассеты 32</t>
  </si>
  <si>
    <t>Кронштейн потолочный закрытой кассеты 45</t>
  </si>
  <si>
    <t>Кронштейн стеновой закрытой кассеты 45</t>
  </si>
  <si>
    <t>Кронштейн стеновой закрытой кассеты 32</t>
  </si>
  <si>
    <t>ДАННЫЙ РАСЧЕТ ПРЕДНАЗНАЧЕН ТОЛЬКО(!) ДЛЯ ОПРЕДЕЛЕНИЯ ОБЪЕМА И СТОИМОСТИ ЗАКАЗА КОМПЛЕКТУЮЩИХ</t>
  </si>
  <si>
    <t>Саморез, 2,9x6,5</t>
  </si>
  <si>
    <t>Кол-во изделий, шт.</t>
  </si>
  <si>
    <t>Заглушка с втулкой нижней рейки, "зебра"</t>
  </si>
  <si>
    <t>Крышка удл. кронштейна 45 для монтажного профиля</t>
  </si>
  <si>
    <t>Профиль нижний внутренний, "зебра" 5м</t>
  </si>
  <si>
    <t>Застежка самокл.белая 25мм hook</t>
  </si>
  <si>
    <t>Застежка самокл.белая 25мм loop</t>
  </si>
  <si>
    <t>Профиль нижний внешний, "зебра"</t>
  </si>
  <si>
    <t>Кронштейн двойной 45</t>
  </si>
  <si>
    <t>Крышка двойного кронштейна 45</t>
  </si>
  <si>
    <t>Полная ширина изделия</t>
  </si>
  <si>
    <t>Кронштейн промежуточный 45</t>
  </si>
  <si>
    <t>Кол-во полотен ткани в изделии, шт.</t>
  </si>
  <si>
    <t>2 или 3</t>
  </si>
  <si>
    <t>Кронштейн соединительный 45</t>
  </si>
  <si>
    <t>Труба 45 мм с 3-мя пазами (LVT)</t>
  </si>
  <si>
    <t>Рейка нижняя алюминий под полосу, белая</t>
  </si>
  <si>
    <t xml:space="preserve">Рейка нижняя алюминий под полосу, белая </t>
  </si>
  <si>
    <t>Зарядное устройство DC264,12.6В-1А,для приводов LE</t>
  </si>
  <si>
    <t>Необходимое кол-во зарядных устройств (шт.)</t>
  </si>
  <si>
    <t>Базовая комплектация</t>
  </si>
  <si>
    <t>Расчет стоимости UNI c ЭП</t>
  </si>
  <si>
    <t>Расчет стоимости MINI c ЭП</t>
  </si>
  <si>
    <t>Платформа для скотча MINI-зебра, шт.</t>
  </si>
  <si>
    <t>Направляющая лески прозрачная, зебра, шт.</t>
  </si>
  <si>
    <t>Кронштейн нижн д/бок. фикс. MINI Зебра, белый</t>
  </si>
  <si>
    <t>Тип кронштейна нижнего</t>
  </si>
  <si>
    <t>1 - металл., 2 - пластик.</t>
  </si>
  <si>
    <t>1 - по ткани</t>
  </si>
  <si>
    <t>2 - по ГИ</t>
  </si>
  <si>
    <t>Изделий 35 мм с монтажным профилем, шт.</t>
  </si>
  <si>
    <t>Кол-во ЭП 55 с проводным управлением</t>
  </si>
  <si>
    <t>Кол-во ЭП 55 с радиоуправлением</t>
  </si>
  <si>
    <t>Кол-во ЭП 55 с радиоуправлением и АКБ</t>
  </si>
  <si>
    <t>Изделий 35 мм без монтажного профиля, шт.</t>
  </si>
  <si>
    <t>Изделий 45 мм без монтажного профиля, шт.</t>
  </si>
  <si>
    <t>Изделий 55 мм без монтажного профиля, шт.</t>
  </si>
  <si>
    <t>Кронштейн потолочный кассеты 32</t>
  </si>
  <si>
    <t>Труба 35 мм (LVT) для моторизации</t>
  </si>
  <si>
    <t>Труба 55 мм (LVT) для моторизации</t>
  </si>
  <si>
    <t>Изделий 55 мм с монтажным профилем, шт.</t>
  </si>
  <si>
    <t>Комплект для моторизации 35</t>
  </si>
  <si>
    <t>Комплект для моторизации 45</t>
  </si>
  <si>
    <t>Комплект для моторизации 55</t>
  </si>
  <si>
    <t>Переходник DH36 на октогональный вал</t>
  </si>
  <si>
    <t>Адаптер DL44 для октогонального вала</t>
  </si>
  <si>
    <t>Необходимое кол-во зарядных устройств, шт.</t>
  </si>
  <si>
    <t>Привод DM25TE-1.5/32, 100-240В, ЭК, IC</t>
  </si>
  <si>
    <t>Привод DM35EW/Y-6/28, 220В, ЭК, IC</t>
  </si>
  <si>
    <t>Привод DM35S-6/28, 220В, МК</t>
  </si>
  <si>
    <t>Привод DM35LE-3/28</t>
  </si>
  <si>
    <t>Необходимое кол-во пультов ДУ (шт.)</t>
  </si>
  <si>
    <t>Пульт ДУ</t>
  </si>
  <si>
    <t>Необходимое кол-во пультов ДУ, шт.</t>
  </si>
  <si>
    <t>Необходимое кол-во кнопок управления, шт.</t>
  </si>
  <si>
    <t>Кнопка управления</t>
  </si>
  <si>
    <t xml:space="preserve">Расчет стоимости, классика LVT c ЭП </t>
  </si>
  <si>
    <t>Расчет стоимости, кассета LVT с ЭП</t>
  </si>
  <si>
    <t>С потолочным кронштейном и ЭП слева</t>
  </si>
  <si>
    <t>Кол-во кассет 45 мм с трубой 55 без тканевой вставки, шт.</t>
  </si>
  <si>
    <t>Кол-во кассет 45 мм с трубой 55 с тканевой вставкой, шт.</t>
  </si>
  <si>
    <t>Кол-во кассет 32 мм с трубой 35 без тканевой вставки, шт.</t>
  </si>
  <si>
    <t>Кол-во кассет 32 мм с трубой 35 с тканевой вставкой, шт.</t>
  </si>
  <si>
    <t>Кол-во кассет 45 мм с трубой 45 без тканевой вставки, шт.</t>
  </si>
  <si>
    <t>Кол-во кассет 45 мм с трубой 45 с тканевой вставкой, шт.</t>
  </si>
  <si>
    <t xml:space="preserve">   Из них кол-во кассет 45 мм со стеновым кронштейном, шт.</t>
  </si>
  <si>
    <t xml:space="preserve">   Из них кол-во изделий с ЭП справа</t>
  </si>
  <si>
    <t xml:space="preserve">   Из них кол-во кассет 32 мм с трубой 35  со стеновым кронштейном, шт.</t>
  </si>
  <si>
    <t>Изделий 55 мм, кол-во шт.</t>
  </si>
  <si>
    <t>Изделий 35 мм, кол-во шт.</t>
  </si>
  <si>
    <t>Расчет стоимости, зебра LVT с ЭП</t>
  </si>
  <si>
    <t>Расчет стоимости, зебра кассета LVT с ЭП</t>
  </si>
  <si>
    <t>Кол-во изделий с трубой 45 мм, шт.</t>
  </si>
  <si>
    <t>Кол-во изделий с трубой 55 мм, шт.</t>
  </si>
  <si>
    <t>Расчет стоимости, 
день-ночь 45  мм LVT с ЭП</t>
  </si>
  <si>
    <t>Расчет стоимости,
классика Double LVT с ЭП</t>
  </si>
  <si>
    <t>Количество изделий со встроенным радиоприемником, шт.</t>
  </si>
  <si>
    <t>Зажим лесенки (ГКС), шт.</t>
  </si>
  <si>
    <t>Стержень поворотный шестигранный ГКС, м</t>
  </si>
  <si>
    <t>Шнуронамотка DS391B, шт.</t>
  </si>
  <si>
    <t>Расчет стоимости Holis, Волна с ЭП</t>
  </si>
  <si>
    <t>Количество изделий с ламелями Волна 35 мм</t>
  </si>
  <si>
    <t>Пульт ДУ, шт.</t>
  </si>
  <si>
    <t>Кронштейн нижний пластиковый для лески, шт.</t>
  </si>
  <si>
    <t>Кольцо стопорное для лески, шт.</t>
  </si>
  <si>
    <t>Блок-подкладка для Волны, шт.</t>
  </si>
  <si>
    <t>Привод DV24DH/L-1.2/45, 12В, МК, срединный, шт.</t>
  </si>
  <si>
    <t>Привод DV24CF/L-1.2/45, 12В, ЭК, IC, срединный, шт.</t>
  </si>
  <si>
    <t>Шпиндельная блокировка DS456, шт.</t>
  </si>
  <si>
    <t>Зажим для мотора в карниз 25x24мм DS440, шт.</t>
  </si>
  <si>
    <t>Кольцо стопорное DS406, шт.</t>
  </si>
  <si>
    <t>Блок питания DC240, 12В, шт.</t>
  </si>
  <si>
    <t>Кнопка управления, шт.</t>
  </si>
  <si>
    <t>Магнит д/валанса 1", шт.</t>
  </si>
  <si>
    <t>Шуруп 3*10мм под магнит, шт.</t>
  </si>
  <si>
    <t>Держатель магнита д/валанса 1", шт.</t>
  </si>
  <si>
    <t>Расчет стоимости P190x</t>
  </si>
  <si>
    <t>Ширина, м</t>
  </si>
  <si>
    <t>Высота, м</t>
  </si>
  <si>
    <t>Количество изделий P1900, шт.</t>
  </si>
  <si>
    <t>Количество изделий P1902, шт.</t>
  </si>
  <si>
    <t>Количество изделий P1905, шт.</t>
  </si>
  <si>
    <t>Крепление</t>
  </si>
  <si>
    <t>Кронштейн потолочный</t>
  </si>
  <si>
    <t>Кронштейн стеновой малый</t>
  </si>
  <si>
    <t>Кронштейн стеновой стандартный</t>
  </si>
  <si>
    <t xml:space="preserve">Количество отверстий, шт. </t>
  </si>
  <si>
    <t>Суммарное количество изделий</t>
  </si>
  <si>
    <t>Профиль под мотор 34х27</t>
  </si>
  <si>
    <t>Профиль натяжения 16х22, м</t>
  </si>
  <si>
    <t>Профиль плоский 10х20, м</t>
  </si>
  <si>
    <t>Профиль маскировочный 16мм, м</t>
  </si>
  <si>
    <t>Полоса пластиковая самоклеящаяся 16мм, прозрачная</t>
  </si>
  <si>
    <t>Стержень поворотный шестигранный (ГКС), 5мм (Venus)</t>
  </si>
  <si>
    <t>Вставка в профиль под мотор</t>
  </si>
  <si>
    <t>SOMFY CTS 25 шнуронамотка 110мм</t>
  </si>
  <si>
    <t>SOMFY CTS 25 шнуронамотка 70мм</t>
  </si>
  <si>
    <t>Зажим для мотора</t>
  </si>
  <si>
    <t>Крышка д/проф под мотор 34х27, шт.</t>
  </si>
  <si>
    <t>Крышка д/проф под мотор 34х27 с напр., шт.</t>
  </si>
  <si>
    <t>Крышка д/проф натяжного 16х22, шт.</t>
  </si>
  <si>
    <t>Крышка д/проф натяжного 16х22 с направляющей, шт.</t>
  </si>
  <si>
    <t>Крышка д/проф плоского 10х20 откр, шт.</t>
  </si>
  <si>
    <t>Кронштейн подоконный для шнура, шт.</t>
  </si>
  <si>
    <t>Суппорт, шт.</t>
  </si>
  <si>
    <t>Натяжитель шнура для профиля натяжения</t>
  </si>
  <si>
    <t>Зажим на вал, шт</t>
  </si>
  <si>
    <t>Шнур 1,2мм, м</t>
  </si>
  <si>
    <t>Прижим ткани, шт.</t>
  </si>
  <si>
    <t>Опора кронштейна подоконного, шт.</t>
  </si>
  <si>
    <t>Кронштейн стеновой малый, шт.</t>
  </si>
  <si>
    <t>Гайка для стенового кронштейна, шт.</t>
  </si>
  <si>
    <t>Кронштейн стеновой стандарт, шт.</t>
  </si>
  <si>
    <t>Кронштейн стеновой стандарт в сборе 27 мм, шт.</t>
  </si>
  <si>
    <t>Кронштейн стеновой стандарт в сборе 20 мм, шт.</t>
  </si>
  <si>
    <t>Кронштейн потолочный, овал, 27мм, шт.</t>
  </si>
  <si>
    <t>Кронштейн потолочный, овал, 20мм., шт.</t>
  </si>
  <si>
    <t>Гайка M3 DIN934, шт.</t>
  </si>
  <si>
    <t>Винт M3x6, шт.</t>
  </si>
  <si>
    <t>Саморез, 3,6x6,5, шт.</t>
  </si>
  <si>
    <t>Саморез, DIN7981 ZN 3.9x13, шт.</t>
  </si>
  <si>
    <t>Дополнительная комплектация (для P1905)</t>
  </si>
  <si>
    <t>Упор установочный, красный, шт.</t>
  </si>
  <si>
    <t>Ключ шестигранный 1,5мм, шт.</t>
  </si>
  <si>
    <t>Расчет стоимости P390x</t>
  </si>
  <si>
    <t>Профиль стандартный 16х22, м</t>
  </si>
  <si>
    <t>Крышка д/профиля стандартного 16х22, шт.</t>
  </si>
  <si>
    <t>Суппорт верхний, шт.</t>
  </si>
  <si>
    <t>Расчет стоимости, 
классика Mono LVT с ЭП</t>
  </si>
  <si>
    <t>Кронштейн боковой кассеты 32 мм для автостопа</t>
  </si>
  <si>
    <t>Комплект для моторизации UNI белый</t>
  </si>
  <si>
    <t>Комплект для моторизации MINI белый, шт.</t>
  </si>
  <si>
    <t>Комплект для моторизации MINI ЗЕБРА белый</t>
  </si>
  <si>
    <t>Привод DV24CFQ/L-0.8/34, 12В, ЭК, IC, срединный</t>
  </si>
  <si>
    <t>Кронштейн потолочный для карниза тип S</t>
  </si>
  <si>
    <t>Крючок для подвеса ткани</t>
  </si>
  <si>
    <t>Ремень, 50кг</t>
  </si>
  <si>
    <t>Соединитель ремня</t>
  </si>
  <si>
    <t>Кронштейн стеновой двухрядный</t>
  </si>
  <si>
    <t>Кронштейн стеновой однорядный</t>
  </si>
  <si>
    <t>Ремень, 100кг</t>
  </si>
  <si>
    <t>Соединитель карнизов</t>
  </si>
  <si>
    <t>Приводы</t>
  </si>
  <si>
    <t>Привод шторный DT72EV-75/20</t>
  </si>
  <si>
    <t>Привод шторный DT72LE-1.2/20</t>
  </si>
  <si>
    <t>Привод шторный DT72TS-1.2/14</t>
  </si>
  <si>
    <t>Зарядное устройство DC731B для привода DT72LE</t>
  </si>
  <si>
    <t>Кол-во изделий с открытием от управл./
к управл., шт.</t>
  </si>
  <si>
    <t>Кол-во изделий с открытием от центра, шт.</t>
  </si>
  <si>
    <t>Расчет стоимости, 
карнизы шторные с ЭП</t>
  </si>
  <si>
    <t>Кол-во изделий с радиоуправл., шт.</t>
  </si>
  <si>
    <t>Кол-во изделий с проводным управл., шт.</t>
  </si>
  <si>
    <t>Кол-во изделий с радиоуправл. и АКБ, шт.</t>
  </si>
  <si>
    <t>Заглушка боковая без крышки</t>
  </si>
  <si>
    <t>Заглушка боковая с крышкой</t>
  </si>
  <si>
    <t>Соединитель карниза</t>
  </si>
  <si>
    <t>1 - да</t>
  </si>
  <si>
    <t>2 - нет</t>
  </si>
  <si>
    <t>Тип кронштейна</t>
  </si>
  <si>
    <t>1- потолочный тип S
2 - стеновой одноряд.
3 - стеновой двуряд.</t>
  </si>
  <si>
    <t>Ремень</t>
  </si>
  <si>
    <t>2 - 100 кг</t>
  </si>
  <si>
    <t>1 - 50 кг</t>
  </si>
  <si>
    <t>Расчет стоимости, 
римские шторы с ЭП</t>
  </si>
  <si>
    <t>1- стеновой/потолочный
2 - стеновой/потолочный пружинный</t>
  </si>
  <si>
    <t>Фибергласовый стержень</t>
  </si>
  <si>
    <t>1 - 3 мм</t>
  </si>
  <si>
    <t>2 - 5 мм</t>
  </si>
  <si>
    <t>Карниз для римской шторы</t>
  </si>
  <si>
    <t>Шнуронамотка с винтом</t>
  </si>
  <si>
    <t>Кольцо для римской шторы</t>
  </si>
  <si>
    <t>Кронштейн для римской шторы</t>
  </si>
  <si>
    <t>Кронштейн для римской шторы пружинный</t>
  </si>
  <si>
    <t>Стержень фибергласовый 3мм</t>
  </si>
  <si>
    <t>Стержень фибергласовый 5мм</t>
  </si>
  <si>
    <t>Стержень поворотный квадратный 5мм</t>
  </si>
  <si>
    <t>Утяжелитель ПВХ, 8x17мм</t>
  </si>
  <si>
    <t>Кольцо стопорное, квадрат 5мм</t>
  </si>
  <si>
    <t>Шнур 1.2 мм, универсальный, белый</t>
  </si>
  <si>
    <t>Зажим для мотора в римский карниз DS440F</t>
  </si>
  <si>
    <t>Адаптер для стержня квадратного 5мм DS440H</t>
  </si>
  <si>
    <t>Кол-во зарядных устройств, шт.</t>
  </si>
  <si>
    <t>Кол-во изделий с АКБ, шт.</t>
  </si>
  <si>
    <t>Блок питания DC943A</t>
  </si>
  <si>
    <t>Количество пультов ДУ, шт.</t>
  </si>
  <si>
    <t>Батарея аккумуляторная DC1326B</t>
  </si>
  <si>
    <t>Зарядное устройство DC264</t>
  </si>
  <si>
    <t>Карниз шторный, тип S</t>
  </si>
  <si>
    <t>Стопор шторный</t>
  </si>
  <si>
    <t>Фиксатор шторный</t>
  </si>
  <si>
    <t>Утяжелитель</t>
  </si>
  <si>
    <t>1 - ПВХ</t>
  </si>
  <si>
    <t>2 - алюминий</t>
  </si>
  <si>
    <t>Утяжелитель алюминий, 3x20мм</t>
  </si>
  <si>
    <t>0 - нет</t>
  </si>
  <si>
    <t>Бегунок поворотный GLYDEA</t>
  </si>
  <si>
    <t>Заглушка ответная GLYDEA</t>
  </si>
  <si>
    <t>Заглушка приводная GLYDEA</t>
  </si>
  <si>
    <t>Заглушка-мини ответная GLYDEA</t>
  </si>
  <si>
    <t>Каретка ведущая усиленная GLYDEA</t>
  </si>
  <si>
    <t>Карниз шторный GLYDEA</t>
  </si>
  <si>
    <t>Комплект установки привода GLYDEA сверху</t>
  </si>
  <si>
    <t>Кронштейн потолочный для ниш GLYDEA</t>
  </si>
  <si>
    <t>Кронштейн потолочный пружинный GLYDEA</t>
  </si>
  <si>
    <t>Кронштейн потолочный эксцентриковый GLYDEA</t>
  </si>
  <si>
    <t>Кронштейн стеновой рег. 117-151 мм однорядный</t>
  </si>
  <si>
    <t>Кронштейн стеновой рег. 223-250 мм двухрядный</t>
  </si>
  <si>
    <t>Соединитель карнизов GLYDEA</t>
  </si>
  <si>
    <t>Удлинитель каретки ответный (от центра) GLYDEA</t>
  </si>
  <si>
    <t>Необходимое кол-во комплектов
 для установки привода сверху, шт.</t>
  </si>
  <si>
    <t>Тип потолочного кронштейна</t>
  </si>
  <si>
    <t>1- потолочный для ниш
2 - потолочный пружинный
3 - потолочный эксцентрик.</t>
  </si>
  <si>
    <t>Тип стенового кронштейна</t>
  </si>
  <si>
    <t>Расчет стоимости, 
карнизы шторные Glydea с ЭП</t>
  </si>
  <si>
    <t>1- без стенового кронштейна 2 - стеновой рег. 117-151 мм
3 - стеновй рег. 223-250 мм</t>
  </si>
  <si>
    <t>Привод IRISMO WireFree 45 RTS</t>
  </si>
  <si>
    <t>Радиоприёмник GLYDEA RTS Receiver</t>
  </si>
  <si>
    <t>Зарядное устройство для АКБ Irismo Wirefire</t>
  </si>
  <si>
    <t>Привод GLYDEA 35e/60e (на усмотрение клиента) DCT</t>
  </si>
  <si>
    <t>Привод GLYDEA 35e/60e (на усмотрение клиента) WT</t>
  </si>
  <si>
    <t>Удлинитель каретки перекрывающий GLYDEA</t>
  </si>
  <si>
    <t>Крышка боковая в римский карниз</t>
  </si>
  <si>
    <t>Длина управления, м</t>
  </si>
  <si>
    <t>Кронштейн потолочный 48 мм</t>
  </si>
  <si>
    <t>Кронштейн стеновой в сборе 48мм, белый</t>
  </si>
  <si>
    <t>Кронштейн стеновой рег. 60-108 мм, 48мм, белый</t>
  </si>
  <si>
    <t>Кронштейн стеновой рег. 108-156 мм, 48мм, белый</t>
  </si>
  <si>
    <t>Кронштейн стеновой рег. 156-204 мм, 48мм, белый</t>
  </si>
  <si>
    <t xml:space="preserve">Тип ткани </t>
  </si>
  <si>
    <t>1 - плиссе; 2 - гофре</t>
  </si>
  <si>
    <t>Профиль под мотор 48 мм, м</t>
  </si>
  <si>
    <t>Профиль нижний 48 мм, м</t>
  </si>
  <si>
    <t>Профиль базовый 32 мм, м</t>
  </si>
  <si>
    <t>Лента клейкая 32мм, м</t>
  </si>
  <si>
    <t>Стержень поворотный шестигранный (ГКС), 5мм</t>
  </si>
  <si>
    <t>Зажим троса</t>
  </si>
  <si>
    <t>Кронштейн подоконный 48мм, комплект, белый</t>
  </si>
  <si>
    <t>Крышка боковая под мотор 48мм, белая</t>
  </si>
  <si>
    <t>Крышка боковая 48мм, белая</t>
  </si>
  <si>
    <t>Соединитель профиля 48мм</t>
  </si>
  <si>
    <t>Натяжитель шнура 48мм</t>
  </si>
  <si>
    <t>Кронштейн для шнура с петлями 48мм стандартный</t>
  </si>
  <si>
    <t>Шуруп для шнура с петлей 48мм</t>
  </si>
  <si>
    <t>Пружина 0,7х44</t>
  </si>
  <si>
    <t>Зажим на вал</t>
  </si>
  <si>
    <t>Шнур с петлями 48мм</t>
  </si>
  <si>
    <t>Кронштейн потолочный 48мм, белый</t>
  </si>
  <si>
    <t>Шайба для опоры, шт.</t>
  </si>
  <si>
    <t>Кол-во крепежа</t>
  </si>
  <si>
    <t>1 изд</t>
  </si>
  <si>
    <t>потол</t>
  </si>
  <si>
    <t>опоры</t>
  </si>
  <si>
    <t>Расчет стоимости P890x</t>
  </si>
  <si>
    <t>Количество изделий P8900, шт.</t>
  </si>
  <si>
    <t>Количество изделий P8905, шт.</t>
  </si>
  <si>
    <t>Привод DM35EW/Y, 220В, ЭК, IC</t>
  </si>
  <si>
    <t>Адаптер для приводов 230В, комплект 48мм</t>
  </si>
  <si>
    <t>Редуктор для электропривода 230В плиссе, 48мм</t>
  </si>
  <si>
    <t>Примерный расчет. Для некоторых размеров кол-во больше, чем нужно, на 1 шт.</t>
  </si>
  <si>
    <t>Шнур 1.2 мм</t>
  </si>
  <si>
    <t>Расчет стоимости P891x</t>
  </si>
  <si>
    <t>Количество изделий P8910, шт.</t>
  </si>
  <si>
    <t>Количество изделий P8915, шт.</t>
  </si>
  <si>
    <t>Примерный расчет. Общее кол-во верное, может быть расхождение по типу</t>
  </si>
  <si>
    <t>Примерный расчет. Для некоторых размеров кол-во больше, чем нужно, на 3 шт.</t>
  </si>
  <si>
    <t xml:space="preserve">Кронштейн </t>
  </si>
  <si>
    <t>0 - 36мм.</t>
  </si>
  <si>
    <t>1 - 41мм.</t>
  </si>
  <si>
    <t>Рейка LVT</t>
  </si>
  <si>
    <t>Рейка LVT c тканью.</t>
  </si>
  <si>
    <t>Лента уплотняющая 7мм</t>
  </si>
  <si>
    <t>Рейка нижняя аллюминий под полосу(LVT)</t>
  </si>
  <si>
    <t>Рейка нижняя аллюминий(LVT)</t>
  </si>
  <si>
    <t>Профиль монажный М, белый</t>
  </si>
  <si>
    <t>Адаптер 29-43 мм .М</t>
  </si>
  <si>
    <t>Саморез 2,9х6,5</t>
  </si>
  <si>
    <t>Трос металический</t>
  </si>
  <si>
    <t>Держатель троса, прозрачный</t>
  </si>
  <si>
    <t>Кронштейн нижний для троса М, белый к-кт</t>
  </si>
  <si>
    <t>Привод DM25TEQ/L-1.5/20,100-240B,ЭК,IC</t>
  </si>
  <si>
    <t>Привод DM25TE/L-1.5/32, 100-240В,ЭК, IC</t>
  </si>
  <si>
    <t xml:space="preserve">Привод DM25TE/S-1.5/32, с обратной связью </t>
  </si>
  <si>
    <t>Адаптер для привода DM25</t>
  </si>
  <si>
    <t>Привод DM25LE/L-1.1/40, 12В, ЭК, IC, АКБ</t>
  </si>
  <si>
    <t>Пластина для привода DM35</t>
  </si>
  <si>
    <t>Адаптер+переходник для DM35, трубы 44, 52мм</t>
  </si>
  <si>
    <t>Привод SONESSE 30 RTS 2/28 (радио) 24 В</t>
  </si>
  <si>
    <t>Адаптер+переходник для Somfy Sonesse, труба 43</t>
  </si>
  <si>
    <t>Адаптер для привода Somfy Sonesse 30</t>
  </si>
  <si>
    <t>Привод SONESSE 30 DCT 2/28 24 В</t>
  </si>
  <si>
    <t>Привод SONESSE 30 WF RTS радио+АКБ 12В 2600 мАч</t>
  </si>
  <si>
    <t>Привод SONESSE 40 3/30 (провод ~230В) МК</t>
  </si>
  <si>
    <t>Привод SONESSE 40 6/20 (провод ~230В) МК</t>
  </si>
  <si>
    <t>Привод SONESSE 40 9/12 (провод ~230В) МК</t>
  </si>
  <si>
    <t>Пластина для привода Somfy LS40, труба 44</t>
  </si>
  <si>
    <t>Адаптер+переходник для Somfy LS40, труба 44</t>
  </si>
  <si>
    <t>Привод SONESSE 40 RTS 3/30 (радио ~230В) ЭК</t>
  </si>
  <si>
    <t>Привод SONESSE 40 RTS 6/20 (радио ~230В) ЭК</t>
  </si>
  <si>
    <t>Привод SONESSE 40 RTS 9/12 (радио ~230В) ЭК</t>
  </si>
  <si>
    <t>Изделий 43 мм , кол-во шт.</t>
  </si>
  <si>
    <t>Изделий 44 мм, кол-во шт.</t>
  </si>
  <si>
    <t>Тип монтажа</t>
  </si>
  <si>
    <t>0-потолок</t>
  </si>
  <si>
    <t>1-стена</t>
  </si>
  <si>
    <t>Изделий 43 мм, кол-во шт.</t>
  </si>
  <si>
    <t>Трубка 12 мм.</t>
  </si>
  <si>
    <t>Двойной отвес</t>
  </si>
  <si>
    <t>Заглушка для трубки нижней 12мм прозрачная,зебра</t>
  </si>
  <si>
    <t>Крышка боковая для отвеса двойного ЗЕБРА,к-кт</t>
  </si>
  <si>
    <t>Трубка нижняя белая 12 мм,зебра</t>
  </si>
  <si>
    <t>Рейка нижняя Зебра</t>
  </si>
  <si>
    <t>Заглушка в трубу 29 мм,подпружиненная М</t>
  </si>
  <si>
    <t>Кронштейн Г-образный</t>
  </si>
  <si>
    <t>Профиль кассеты лицевой квадратный М,белый</t>
  </si>
  <si>
    <t>Крышка кассеты левая М, белая</t>
  </si>
  <si>
    <t>Крышка кассеты правая М, белая</t>
  </si>
  <si>
    <t>Кронштейн для кассеты М с винтом, алюм., белый</t>
  </si>
  <si>
    <t>0- Нет</t>
  </si>
  <si>
    <t>1- Да</t>
  </si>
  <si>
    <t>Заглушка нижней рейки LVT</t>
  </si>
  <si>
    <t>Направляющие</t>
  </si>
  <si>
    <t>Изделий 52 мм , кол-во шт.</t>
  </si>
  <si>
    <t>Изделий 65 мм , кол-во шт.</t>
  </si>
  <si>
    <t>Изделий 52 мм с монтажным профилем, шт.</t>
  </si>
  <si>
    <t>Изделий 65 мм с монтажным профилем, шт.</t>
  </si>
  <si>
    <t>0 - 51мм.</t>
  </si>
  <si>
    <t>1 - 59мм.</t>
  </si>
  <si>
    <t>Кронштейн монтажного профиля L c винтом,алюминиевый,белый</t>
  </si>
  <si>
    <t>Кронштейн 51 мм,L,металл</t>
  </si>
  <si>
    <t>Кронштейн 59 мм,L,металл</t>
  </si>
  <si>
    <t>Профиль монажный L, белый</t>
  </si>
  <si>
    <t>Заглушка в трубу 43 мм с фиксатором L, белая</t>
  </si>
  <si>
    <t>Саморез 4,3х13 мм</t>
  </si>
  <si>
    <t>Трос 2мм</t>
  </si>
  <si>
    <t>Кронштейн для троса стеновой,белый</t>
  </si>
  <si>
    <t>Кронштейн для троса подоконный, белый</t>
  </si>
  <si>
    <t>Зажим для троса 2мм</t>
  </si>
  <si>
    <t>Пружина 0,9х26,5</t>
  </si>
  <si>
    <t>Винт М4х10DIN965</t>
  </si>
  <si>
    <t>Гайка М4</t>
  </si>
  <si>
    <t xml:space="preserve">Адаптер 43-52 мм,L </t>
  </si>
  <si>
    <t>Адаптер- кольцо 52 мм,L</t>
  </si>
  <si>
    <t xml:space="preserve">Адаптер 43-65 мм,L </t>
  </si>
  <si>
    <r>
      <t>Адаптер+переходник</t>
    </r>
    <r>
      <rPr>
        <sz val="8"/>
        <rFont val="Arial"/>
        <family val="2"/>
        <charset val="204"/>
      </rPr>
      <t>для Somfy LS40, труба 52</t>
    </r>
  </si>
  <si>
    <t>Адаптер+переходник для DM35, труба 65мм</t>
  </si>
  <si>
    <r>
      <t>Адаптер+переходник</t>
    </r>
    <r>
      <rPr>
        <sz val="8"/>
        <rFont val="Arial"/>
        <family val="2"/>
        <charset val="204"/>
      </rPr>
      <t xml:space="preserve"> для Somfy LS40, труба 65</t>
    </r>
  </si>
  <si>
    <t>Изделий 52 мм, управление справа, кол-во шт.</t>
  </si>
  <si>
    <t>Изделий 65 мм, управление справа, кол-во шт.</t>
  </si>
  <si>
    <t>Кронштейн для кассеты L c винтом,алюминиевый,белый</t>
  </si>
  <si>
    <t>Заглушка боковая универсальная кассеты L,белая</t>
  </si>
  <si>
    <t>Штифт блокирующий, прозрачный</t>
  </si>
  <si>
    <t>Профиль кассеты лицевой квадратный L, белый</t>
  </si>
  <si>
    <t>Профиль кассеты базовый L, белый</t>
  </si>
  <si>
    <t>Адаптер 43-52 мм,L</t>
  </si>
  <si>
    <t xml:space="preserve">Адаптер- кольцо 52 мм,L </t>
  </si>
  <si>
    <t>Кронштейн 36 мм. М, металл</t>
  </si>
  <si>
    <t>Кронштейн 41 мм. М металл</t>
  </si>
  <si>
    <t>Кронштейн 41 мм. М, 90гр., металл</t>
  </si>
  <si>
    <t>Труба 44мм для моторизации M</t>
  </si>
  <si>
    <t>Труба 43мм с двумя пазами ML</t>
  </si>
  <si>
    <t>Кольцо стопорное 6х1,3х5мм</t>
  </si>
  <si>
    <t>Втулка для троса 1,2мм</t>
  </si>
  <si>
    <t>Вставка для головы Sonesse 30/DM25</t>
  </si>
  <si>
    <t>Соединитель кассеты M, прозрачный</t>
  </si>
  <si>
    <t>Профиль кассеты базовый М, базовый,белый</t>
  </si>
  <si>
    <t>Шлегель 7мм,серый</t>
  </si>
  <si>
    <t>Кольцо стопорное 6х1,3х5 мм</t>
  </si>
  <si>
    <t>Кронштейн 51мм L, 90гр. металл</t>
  </si>
  <si>
    <t>Кронштейн 59мм L, 90гр. металл</t>
  </si>
  <si>
    <t>Труба 52 мм c двумя пазами L</t>
  </si>
  <si>
    <t>Труба 65 мм c двумя пазами L</t>
  </si>
  <si>
    <t>Крышка  правая кассеты L, белая</t>
  </si>
  <si>
    <t>Крышка  левая кассеты L, белая</t>
  </si>
  <si>
    <t>Стопор для направляющих</t>
  </si>
  <si>
    <t>Рейка нижняя М.</t>
  </si>
  <si>
    <t>Рейка нижняя L</t>
  </si>
  <si>
    <t>Крышка нижней рейки М, пара, белая</t>
  </si>
  <si>
    <t>Крышка нижней рейки L, пара, белая</t>
  </si>
  <si>
    <t>Адаптер 29-44мм М</t>
  </si>
  <si>
    <t>Адаптер 29-44 мм М</t>
  </si>
  <si>
    <t>Рейка нижняя М, белая</t>
  </si>
  <si>
    <t>Рейка нижняя L, белая</t>
  </si>
  <si>
    <t>Пластиковая полоса-фиксатор  10х1,2мм</t>
  </si>
  <si>
    <t>Адаптер 29-44 мм.М</t>
  </si>
  <si>
    <t>Фиксатор троса L,пара</t>
  </si>
  <si>
    <t>Полоса-фиксатор  9мм</t>
  </si>
  <si>
    <t>Лента уплотняющая  7мм</t>
  </si>
  <si>
    <t>Заглушка в трубу 29 мм с фиксатором М, серая</t>
  </si>
  <si>
    <t>Кронштейн потолочный универсальный М,металл</t>
  </si>
  <si>
    <t>Лента клейкая д/трубы 17мм</t>
  </si>
  <si>
    <t>Нижняя направляющая</t>
  </si>
  <si>
    <t>Шлегель 10мм МL,серый</t>
  </si>
  <si>
    <t>Шлегель 7мм М,серый</t>
  </si>
  <si>
    <t>Шлегель 3,8x4 мм DF11</t>
  </si>
  <si>
    <t>ПРИВОДЫ</t>
  </si>
  <si>
    <t>Привод DM35LE/S-3/28 316#, АКБ, с обратной связью</t>
  </si>
  <si>
    <t>Привод DM35F/S-6/28 316#, 230В, с обратной связью</t>
  </si>
  <si>
    <t>Привод DM35F/SW-6/28, 316#, 230В, Wi-Fi с обр.св.</t>
  </si>
  <si>
    <t>Привод DM35SL-6/28, 316#, 230В</t>
  </si>
  <si>
    <t>Комплект электрики Amigo для Benthin 43</t>
  </si>
  <si>
    <t>Комплект электрики Amigo для Benthin 44</t>
  </si>
  <si>
    <t>Комплект электрики Somfy для Benthin 43</t>
  </si>
  <si>
    <t>Комплект электрики Somfy для Benthin 44</t>
  </si>
  <si>
    <t>Привод DM35F/Y-6/28, 316#, 230В, радио </t>
  </si>
  <si>
    <t>Адаптер+переходник для Somfy 30/DM 25, труба 43</t>
  </si>
  <si>
    <t>Адаптер+переходник для Somfy 30/DM25 труба 43</t>
  </si>
  <si>
    <t>Адаптер+переходник для Somfy30/DM25, труба 43</t>
  </si>
  <si>
    <t>Комплект электрики Amigo для Benthin 52</t>
  </si>
  <si>
    <t>Комплект электрики Amigo для Benthin 65</t>
  </si>
  <si>
    <t>Комплект электрики Somfy для Benthin 52</t>
  </si>
  <si>
    <t>Комплект электрики Somfy для Benthin 65</t>
  </si>
  <si>
    <t>Кардан</t>
  </si>
  <si>
    <t>Кронштейн соединительный МОНО 36 мм. М, металл</t>
  </si>
  <si>
    <t>Заглушка в трубу 43 мм регулируемая МОНО М, серая</t>
  </si>
  <si>
    <t>Заглушка соединительная в трубу 43 мм  МL, серая</t>
  </si>
  <si>
    <t>Ось соединительная ML</t>
  </si>
  <si>
    <t>Опора для кронштейна МОНО, М 1,5мм</t>
  </si>
  <si>
    <t>Соединитель карданный ML</t>
  </si>
  <si>
    <t>Кол-во полотен ткани в изделии 52 мм, шт.</t>
  </si>
  <si>
    <t>Кол-во полотен ткани в изделии 65 мм, шт.</t>
  </si>
  <si>
    <t>Кронштейн  для моторизации и МОНО 51 мм,L,металл</t>
  </si>
  <si>
    <t>Кронштейн для моторизации и МОНО 59 мм,L,металл</t>
  </si>
  <si>
    <t>Кронштейн для моторизации и МОНО 51 мм,L,металл</t>
  </si>
  <si>
    <t>Заглушка в трубу 43 мм регулируемая МОНО L, серая</t>
  </si>
  <si>
    <t>Опора для кронштейна МОНО, L 3мм</t>
  </si>
  <si>
    <t>Шуруп  4,2х13 мм</t>
  </si>
  <si>
    <t>Лента(ГКС), м</t>
  </si>
  <si>
    <t>Привод Roll Up 28 RTS 1,1/27,  (радио 12В пост. тока)</t>
  </si>
  <si>
    <t>Привод ROLL UP 28 WT W/PIN (провод 24В пост. тока )</t>
  </si>
  <si>
    <t>Изделий 29 мм , кол-во шт.</t>
  </si>
  <si>
    <t>Комплект электрики Amigo для Benthin 29</t>
  </si>
  <si>
    <t>Комплект электрики Somfy для Benthin 29</t>
  </si>
  <si>
    <t>Рейка нижняя L .</t>
  </si>
  <si>
    <t>Кронштейн 41 мм. М, металл</t>
  </si>
  <si>
    <t>Труба 29мм M/Roof</t>
  </si>
  <si>
    <t>Держатель троса потолочный M</t>
  </si>
  <si>
    <t>Держатель троса, прозрачный, стеновой</t>
  </si>
  <si>
    <t>Адаптер для привода Sonesse 30/DM25 для трубы 29</t>
  </si>
  <si>
    <t>Адаптер для привода Somfy Sonesse 30/Roll Up 28</t>
  </si>
  <si>
    <t>Изделий 29 мм, кол-во шт.</t>
  </si>
  <si>
    <t>Боковая фиксация</t>
  </si>
  <si>
    <t>Регулируемая заглушка</t>
  </si>
  <si>
    <t>Кронштейн потолочный универсальный М,металл (короб)</t>
  </si>
  <si>
    <t>Кронштейн потолочный универсальный М,металл (направляющие)</t>
  </si>
  <si>
    <t>Шлегель для направляющей (LVT)</t>
  </si>
  <si>
    <t>Крышка нижней рейки M, пара, белая</t>
  </si>
  <si>
    <t>Рейка нижняя M, белая</t>
  </si>
  <si>
    <t>Саморез, 2.9x16 DIN7981 ZN</t>
  </si>
  <si>
    <t>Саморез, 3.9x16 DIN7981 ZN</t>
  </si>
  <si>
    <t>1 или 2</t>
  </si>
  <si>
    <t>Крышка нижней рейки L , пара, белая</t>
  </si>
  <si>
    <t>Кронштейн соединительный МОНО 41 мм. М, металл</t>
  </si>
  <si>
    <t>Монтажный профиль</t>
  </si>
  <si>
    <t>0 - Нет</t>
  </si>
  <si>
    <t>1 - Да</t>
  </si>
  <si>
    <t>Изделий 29 мм с монтажным профилем,кол-во шт.</t>
  </si>
  <si>
    <t>Изделий 43 мм с монтажным профилем, кол-во шт.</t>
  </si>
  <si>
    <t>Изделий 44 мм с монтажным профилем, кол-во шт.</t>
  </si>
  <si>
    <t>Кронштейн 36 мм. М, 90гр., металл</t>
  </si>
  <si>
    <t>Кронштейн 60 мм. М, металл</t>
  </si>
  <si>
    <t>Ширина 1 изделия  (м)</t>
  </si>
  <si>
    <t>Высота 1 изделия(м)</t>
  </si>
  <si>
    <t>Ширина  2 изделия(м)</t>
  </si>
  <si>
    <t>Высота 2 изделия(м)</t>
  </si>
  <si>
    <t>Кронштейн ДАБЛ 51мм L, металл</t>
  </si>
  <si>
    <t>Ширина 1 (м)</t>
  </si>
  <si>
    <t>Ширина 2 (м)</t>
  </si>
  <si>
    <t>Высота 1 (м)</t>
  </si>
  <si>
    <t>Высота 2 (м)</t>
  </si>
  <si>
    <t>Кол-во  изделий 52 мм, шт.</t>
  </si>
  <si>
    <t>Кол-во изделий 65 мм, шт.</t>
  </si>
  <si>
    <t>Кол-во изделий 52 мм, шт.</t>
  </si>
  <si>
    <t>Крышка нижней рейки L, пара</t>
  </si>
  <si>
    <t>Крышка нижней рейки M, пара</t>
  </si>
  <si>
    <t>Труба 19 мм</t>
  </si>
  <si>
    <t>Привод DM15LEU/S-0.3/30, с обратной связью</t>
  </si>
  <si>
    <t>Кабель microUSB, 3м</t>
  </si>
  <si>
    <t>Необходимое кол-во кабелей microUSB для зарядных устройств (шт.)</t>
  </si>
  <si>
    <t>Зарядное устройство USB 5В/1А</t>
  </si>
  <si>
    <t>Пульт ДУ DD</t>
  </si>
  <si>
    <t>Необходимое кол-во пультов ДУ DD (шт.)</t>
  </si>
  <si>
    <t>Дополнительная комплектация UNI 2 на скотч, шт.</t>
  </si>
  <si>
    <t>Расчет стоимости UNI II c ЭП</t>
  </si>
  <si>
    <t>Плитка подкладочная высокая, пара</t>
  </si>
  <si>
    <t>Доп.профиль высокий</t>
  </si>
  <si>
    <t>Расчет стоимости UNI II ЗЕБРА c ЭП</t>
  </si>
  <si>
    <t>Расчет стоимости UNI ЗЕБРА с ЭП</t>
  </si>
  <si>
    <t>Труба 19мм, м</t>
  </si>
  <si>
    <t>Пульт ДУ DD, шт.</t>
  </si>
  <si>
    <t>Направляющая лески скрытая</t>
  </si>
  <si>
    <t>Направляющая лески скрытая, шт.</t>
  </si>
  <si>
    <t>0 - нет; 1 - металл., 2 - пластик., 3 - пластик. ЗЕБРА</t>
  </si>
  <si>
    <t>0 - нет, 1 - магниты + держатели; 2 - магниты + полоса</t>
  </si>
  <si>
    <t>1 - саморезы; 2 - скотч; 3 - кронштейны ПВХ</t>
  </si>
  <si>
    <t>Изделий 75 мм с монтажным профилем, шт.</t>
  </si>
  <si>
    <t>Изделий 75 мм , кол-во шт.</t>
  </si>
  <si>
    <t>Комплект электрики Amigo для Benthin 75</t>
  </si>
  <si>
    <t>Комплект электрики Somfy для Benthin 75</t>
  </si>
  <si>
    <t>Тип привода</t>
  </si>
  <si>
    <t>Привод DM35SL-10/17, №316, 230В</t>
  </si>
  <si>
    <t>Привод DM35LE-3/28, 12В, №316, АКБ</t>
  </si>
  <si>
    <t>Привод SONESSE 50 WT 6/28 (провод ~230В) МК</t>
  </si>
  <si>
    <t>Привод SONESSE 50 RTS 6/28 (радио ~230В) ЭК</t>
  </si>
  <si>
    <t>Привод SONESSE 50 RTS 10/28 (радио ~230В) ЭК</t>
  </si>
  <si>
    <t>СТРОЧКИ ОБЯЗАТЕЛЬНЫЕ ДЛЯ ЗАПОЛНЕНИЯ</t>
  </si>
  <si>
    <t>ОДНА ИЗ СТРОЧЕК ОБЯЗАТЕЛЬНА ДЛЯ ЗАПОЛНЕНИЯ</t>
  </si>
  <si>
    <t>ДЛЯ ЗАПОЛНЕНИЯ ВЫБРАТЬ ТОЛЬКО ОДНУ ИЗ СТРОЧЕК</t>
  </si>
  <si>
    <t>Адаптер+переходникдля Somfy LS40, труба 52</t>
  </si>
  <si>
    <t>Адаптер+переходник для Somfy LS40, труба 65</t>
  </si>
  <si>
    <t>Адаптер- кольцо 75 мм,L</t>
  </si>
  <si>
    <t>Труба 75 мм c двумя пазами L</t>
  </si>
  <si>
    <t>Адаптер+переходник для DM35, труба 75мм</t>
  </si>
  <si>
    <t>Адаптер+переходник для Somfy WT50, труба 75</t>
  </si>
  <si>
    <t>⅍</t>
  </si>
  <si>
    <t>Крышка нижней рейки М, пара</t>
  </si>
  <si>
    <t>Крышка нижней рейки М для боковой фиксации, пара</t>
  </si>
  <si>
    <t>Крышка кронштейна кронштейна широкая 55х36 мм М</t>
  </si>
  <si>
    <t>Крышка кронштейна кронштейна плоская 55х36 мм М</t>
  </si>
  <si>
    <t>Крышка кронштейна кронштейна широкая 55х41 мм М</t>
  </si>
  <si>
    <t xml:space="preserve">Крышка кронштейна кронштейна широкая 55х41 мм М </t>
  </si>
  <si>
    <t>Крышка кронштейна кронштейна плоская 55х41 мм М</t>
  </si>
  <si>
    <t>Крышка кронштейна кронштейна плоская 55х46 мм М</t>
  </si>
  <si>
    <t xml:space="preserve">Крышка кронштейна кронштейна широкая 55х46 мм М </t>
  </si>
  <si>
    <t>Крышка кронштейна кронштейна широкая 55х46 мм М</t>
  </si>
  <si>
    <t>Крышка кронштейна кронштейна широкая 55х60 мм М</t>
  </si>
  <si>
    <t>Рейка нижняя М</t>
  </si>
  <si>
    <t>Профиль монажный М</t>
  </si>
  <si>
    <t>Заглушка в трубу 29 мм,регулируемая М</t>
  </si>
  <si>
    <t>1 - провод</t>
  </si>
  <si>
    <t>2 - радио</t>
  </si>
  <si>
    <t>3 - радио с АКБ</t>
  </si>
  <si>
    <t>1 - 36мм.</t>
  </si>
  <si>
    <t>2 - 41мм.</t>
  </si>
  <si>
    <t>3 - 60мм.</t>
  </si>
  <si>
    <t>ТОЛЬКО С НИЖНЕЙ РЕЙКОЙ М</t>
  </si>
  <si>
    <t>Привод Sonesse 28 RTS WireFree 1,1/28</t>
  </si>
  <si>
    <t>Крышка кронштейна  широкая 55х41 мм М</t>
  </si>
  <si>
    <t>Крышка кронштейна  широкая 55х46 мм М</t>
  </si>
  <si>
    <t>Изделий75 мм, управление справа, кол-во шт.</t>
  </si>
  <si>
    <t>Профиль кассеты базовый М, базовый</t>
  </si>
  <si>
    <t>Профиль кассеты лицевой квадратный М</t>
  </si>
  <si>
    <t>Крышка кассеты левая М</t>
  </si>
  <si>
    <t>Крышка кассеты правая М</t>
  </si>
  <si>
    <t>Кронштейн для кассеты М с винтом, алюм.</t>
  </si>
  <si>
    <t>Крышка нижней рейки М для направляющих ,пара</t>
  </si>
  <si>
    <t>Соединитель кассеты и направляющей М,пара</t>
  </si>
  <si>
    <t>Направляющая для кассеты М</t>
  </si>
  <si>
    <t>Заглушка для направляющей М, пара</t>
  </si>
  <si>
    <t>Профиль закрывающий М</t>
  </si>
  <si>
    <t>Направляющая нижняя для кассеты МL</t>
  </si>
  <si>
    <t>Кронштейн монтажного профиля L c винтом,алюминиевый</t>
  </si>
  <si>
    <t>Крышка кронштейна плоская 59х51 мм L</t>
  </si>
  <si>
    <t>Крышка кронштейна  широкая 91х51 мм L</t>
  </si>
  <si>
    <t>Накладка на кронштейн  L</t>
  </si>
  <si>
    <t>Рейка нижняя M</t>
  </si>
  <si>
    <t>Заглушка в трубу 43 мм,регулируемая L</t>
  </si>
  <si>
    <t>Заглушка в трубу 43 мм с фиксатором L</t>
  </si>
  <si>
    <t>Крышка нижней рейки L для боковой фиксапции, пара</t>
  </si>
  <si>
    <t>Кронштейн для троса стеновой</t>
  </si>
  <si>
    <t>Кронштейн для троса подоконный</t>
  </si>
  <si>
    <t>Накладка на кронштейн 51мм L</t>
  </si>
  <si>
    <t xml:space="preserve">Адаптер- кольцо 75 мм,L </t>
  </si>
  <si>
    <t>Крышка нижней рейки L для боковой фиксации, пара</t>
  </si>
  <si>
    <t>Крышка нижней рейки L для направляющих, пара</t>
  </si>
  <si>
    <t>Кронштейн для кассеты L c винтом,алюминиевый</t>
  </si>
  <si>
    <t>Крышка  правая кассеты L</t>
  </si>
  <si>
    <t>Крышка  левая кассеты L</t>
  </si>
  <si>
    <t>Заглушка боковая универсальная кассеты L</t>
  </si>
  <si>
    <t>Направляющая для кассеты L</t>
  </si>
  <si>
    <t>Профиль закрывающий L</t>
  </si>
  <si>
    <t>Профиль кассеты лицевой квадратный L</t>
  </si>
  <si>
    <t>Профиль кассеты базовый L</t>
  </si>
  <si>
    <t>Заглушка для направляющей L</t>
  </si>
  <si>
    <t>Соединитель кассеты и направляющей L</t>
  </si>
  <si>
    <t>Заглушка для направляющей нижней L, пара</t>
  </si>
  <si>
    <t>Ширина изделия полная  (м)</t>
  </si>
  <si>
    <t>Высота изделия полная (м)</t>
  </si>
  <si>
    <t>ТОЛЬКО С НИЖНЕЙ РЕЙКОЙ М,L</t>
  </si>
  <si>
    <t>ТОЛЬКО С НИЖНЕЙ РЕЙКОЙ L</t>
  </si>
  <si>
    <t>Кол-во изделий 43 мм , шт.</t>
  </si>
  <si>
    <t>Кол-во изделий 44 мм , шт.</t>
  </si>
  <si>
    <t>Крышка нижней рейки L , пара</t>
  </si>
  <si>
    <t>Привод SONESSE  28 RTS WireFree 1,1/28</t>
  </si>
  <si>
    <t>Кол-во полотен ткани в изделии 75 мм, шт.</t>
  </si>
  <si>
    <t>СТРОЧКА ОБЯЗАТЕЛЬНАЯ  ДЛЯ ЗАПОЛНЕНИЯ</t>
  </si>
  <si>
    <t>Профиль монажный L</t>
  </si>
  <si>
    <t>Саморез, 3.5x13 DIN7981 ZN</t>
  </si>
  <si>
    <t>Кол-во изделий 75 мм, шт.</t>
  </si>
  <si>
    <t>Крышка кронштейна широкая 59х51 мм L</t>
  </si>
  <si>
    <t>Крышка кронштейна широкая 91x51мм м.проф. L</t>
  </si>
  <si>
    <t>Накладка на кронштейн L, белая</t>
  </si>
  <si>
    <t>Адаптер для оси 7-10мм</t>
  </si>
  <si>
    <t>Кронштейн 36мм М, металл</t>
  </si>
  <si>
    <t>Саморез, 2.2x6,5 DIN7981 ZN</t>
  </si>
  <si>
    <t>Соединитель кассеты SM, прозрачный</t>
  </si>
  <si>
    <t>ПРИМИНИМО ДЛЯ ПРОВОДНЫХ ПРИВОДОВ</t>
  </si>
  <si>
    <t>ПРИМИНИМО ДЛЯ РАДИО ПРИВОДОВ</t>
  </si>
  <si>
    <t>ПРИМИНИМО ДЛЯ  ПРИВОДОВ С АКБ</t>
  </si>
  <si>
    <t>Зарядное устройство , для приводов с АКБ</t>
  </si>
  <si>
    <t>Бегунок шторный поворотный</t>
  </si>
  <si>
    <t>Каретка ведущая длинная с роликом</t>
  </si>
  <si>
    <t>Каретка ведущая короткая</t>
  </si>
  <si>
    <t>Скоба для ролика</t>
  </si>
  <si>
    <t>Ролик для каретки</t>
  </si>
  <si>
    <t>Расчет стоимости Ролла кассета 1</t>
  </si>
  <si>
    <t>Тип крепления (сверление)</t>
  </si>
  <si>
    <t xml:space="preserve">Труба алюмин. 19мм </t>
  </si>
  <si>
    <t>Короб ROLLA кассета, белый</t>
  </si>
  <si>
    <t>Направляющая плоская ROLLA кассета, белая</t>
  </si>
  <si>
    <t>Планка нижняя стальная, белая RUS</t>
  </si>
  <si>
    <t>Уплотнитель нижней планки, белый UNI</t>
  </si>
  <si>
    <t>Крышка плоской напр. ROLLA кассета, пара, белая</t>
  </si>
  <si>
    <t xml:space="preserve">                                                                                                                                            Итого сумма</t>
  </si>
  <si>
    <t>Плитка подкладочная низкая ROLLA касс.,пара,белая</t>
  </si>
  <si>
    <t>Доп. профиль низкий ROLLA кассета, белый</t>
  </si>
  <si>
    <t>Пакеты</t>
  </si>
  <si>
    <t>Слева</t>
  </si>
  <si>
    <t>Справа</t>
  </si>
  <si>
    <t>Да</t>
  </si>
  <si>
    <t>Нет</t>
  </si>
  <si>
    <t>Комплект для моторизации ROLLA кассета, белый</t>
  </si>
  <si>
    <t>Rolla КС 3</t>
  </si>
  <si>
    <t>Расчет стоимости Ролла кассета 2</t>
  </si>
  <si>
    <t>Направляющая C-образная ROLLA кассета, белая</t>
  </si>
  <si>
    <t>Крышка С-образной напр. ROLLA кассета, пара, белая</t>
  </si>
  <si>
    <t>Плитка подкладочная высокая ROLLA касс.,пара,белая</t>
  </si>
  <si>
    <t>Доп. профиль высокий ROLLA кассета, белый</t>
  </si>
  <si>
    <t>Расчет стоимости Ролла кассета 1 Зебра</t>
  </si>
  <si>
    <t>Отвес нижний для зебры белый UNI 10мм</t>
  </si>
  <si>
    <t xml:space="preserve">Расчет стоимости Ролла кассета 2 Зебра </t>
  </si>
  <si>
    <t>Кронштейн 36мм M, металл</t>
  </si>
  <si>
    <t>Кронштейн усиленный</t>
  </si>
  <si>
    <t>Кронштейн для монтажного профиля M с винтом</t>
  </si>
  <si>
    <t xml:space="preserve">Адаптер 43-52мм </t>
  </si>
  <si>
    <t>Адаптер 43-52 мм</t>
  </si>
  <si>
    <t>Саморез 3,5x13 DIN 7981</t>
  </si>
  <si>
    <t>Адаптер 43-52мм М</t>
  </si>
  <si>
    <t>Адаптер 29-44мм 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</si>
</sst>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;[Red]\-0.00000"/>
    <numFmt numFmtId="165" formatCode="0.000;[Red]\-0.000"/>
    <numFmt numFmtId="166" formatCode="0.0000;[Red]\-0.0000"/>
    <numFmt numFmtId="167" formatCode="0.000"/>
  </numFmts>
  <fonts count="38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2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8"/>
      <color indexed="10"/>
      <name val="Arial"/>
      <family val="2"/>
      <charset val="204"/>
    </font>
    <font>
      <sz val="8"/>
      <color indexed="10"/>
      <name val="Arial Cyr"/>
      <family val="2"/>
      <charset val="204"/>
    </font>
    <font>
      <sz val="12"/>
      <name val="Arial"/>
      <family val="2"/>
      <charset val="204"/>
    </font>
    <font>
      <b/>
      <sz val="8"/>
      <color indexed="12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6"/>
      <name val="Arial"/>
      <family val="2"/>
      <charset val="204"/>
    </font>
    <font>
      <sz val="22"/>
      <name val="Arial"/>
      <family val="2"/>
      <charset val="204"/>
    </font>
    <font>
      <b/>
      <sz val="14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PF DinText Pro"/>
      <charset val="204"/>
    </font>
    <font>
      <b/>
      <sz val="8"/>
      <name val="PF DinText Pro"/>
      <charset val="204"/>
    </font>
    <font>
      <sz val="11"/>
      <color rgb="FF9C6500"/>
      <name val="PF DinText Pro"/>
      <charset val="204"/>
    </font>
    <font>
      <b/>
      <sz val="8"/>
      <color rgb="FFFF0000"/>
      <name val="PF DinText Pro"/>
      <charset val="204"/>
    </font>
    <font>
      <b/>
      <sz val="10"/>
      <name val="PF DinText Pro"/>
      <charset val="204"/>
    </font>
    <font>
      <sz val="8"/>
      <color indexed="8"/>
      <name val="PF DinText Pro"/>
      <charset val="204"/>
    </font>
    <font>
      <b/>
      <sz val="14"/>
      <name val="PF DinText Pro"/>
      <charset val="204"/>
    </font>
    <font>
      <b/>
      <sz val="16"/>
      <name val="PF DinText Pro"/>
      <charset val="204"/>
    </font>
    <font>
      <sz val="10"/>
      <name val="PF DinText Pro"/>
      <charset val="204"/>
    </font>
    <font>
      <sz val="10"/>
      <color rgb="FF9C6500"/>
      <name val="PF DinText Pro"/>
      <charset val="204"/>
    </font>
    <font>
      <sz val="12"/>
      <name val="Calibri"/>
      <family val="2"/>
      <charset val="204"/>
    </font>
    <font>
      <sz val="9"/>
      <color rgb="FF9C6500"/>
      <name val="PF DinText Pro"/>
      <charset val="204"/>
    </font>
    <font>
      <b/>
      <sz val="8"/>
      <color indexed="10"/>
      <name val="PF DinText Pro"/>
      <charset val="204"/>
    </font>
    <font>
      <sz val="9"/>
      <name val="PF DinText Pro"/>
      <charset val="204"/>
    </font>
    <font>
      <b/>
      <sz val="20"/>
      <name val="PF DinText Pro"/>
      <charset val="204"/>
    </font>
    <font>
      <sz val="10"/>
      <name val="Arial"/>
      <family val="2"/>
      <charset val="204"/>
    </font>
    <font>
      <sz val="12"/>
      <name val="PF DinText Pro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rgb="FFFFCCCC"/>
        <bgColor indexed="64"/>
      </patternFill>
    </fill>
    <fill>
      <patternFill patternType="solid">
        <fgColor rgb="FFD9EFD1"/>
        <bgColor indexed="64"/>
      </patternFill>
    </fill>
    <fill>
      <patternFill patternType="solid">
        <fgColor rgb="FFCCFFCC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horizontal="left"/>
    </xf>
    <xf numFmtId="0" fontId="20" fillId="10" borderId="0" applyNumberFormat="0" applyBorder="0" applyAlignment="0" applyProtection="0"/>
  </cellStyleXfs>
  <cellXfs count="1129">
    <xf numFmtId="0" fontId="0" fillId="0" borderId="0" xfId="0" applyAlignment="1"/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164" fontId="0" fillId="0" borderId="5" xfId="0" applyNumberFormat="1" applyBorder="1" applyAlignment="1">
      <alignment horizontal="right"/>
    </xf>
    <xf numFmtId="166" fontId="0" fillId="0" borderId="5" xfId="0" applyNumberFormat="1" applyBorder="1" applyAlignment="1">
      <alignment horizontal="right"/>
    </xf>
    <xf numFmtId="0" fontId="5" fillId="0" borderId="0" xfId="0" applyFont="1" applyAlignment="1"/>
    <xf numFmtId="165" fontId="0" fillId="0" borderId="5" xfId="0" applyNumberFormat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3" fillId="2" borderId="17" xfId="0" applyFont="1" applyFill="1" applyBorder="1" applyAlignment="1"/>
    <xf numFmtId="0" fontId="0" fillId="4" borderId="7" xfId="0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3" borderId="2" xfId="0" applyFill="1" applyBorder="1" applyAlignment="1"/>
    <xf numFmtId="0" fontId="0" fillId="3" borderId="19" xfId="0" applyFill="1" applyBorder="1" applyAlignment="1"/>
    <xf numFmtId="0" fontId="0" fillId="3" borderId="0" xfId="0" applyFill="1" applyBorder="1" applyAlignment="1"/>
    <xf numFmtId="0" fontId="0" fillId="3" borderId="20" xfId="0" applyFill="1" applyBorder="1" applyAlignment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1" xfId="0" applyFill="1" applyBorder="1" applyAlignment="1"/>
    <xf numFmtId="0" fontId="0" fillId="3" borderId="0" xfId="0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3" borderId="17" xfId="0" applyFill="1" applyBorder="1" applyAlignment="1"/>
    <xf numFmtId="0" fontId="0" fillId="3" borderId="22" xfId="0" applyFill="1" applyBorder="1" applyAlignment="1"/>
    <xf numFmtId="0" fontId="0" fillId="3" borderId="22" xfId="0" applyFill="1" applyBorder="1" applyAlignment="1">
      <alignment horizontal="center"/>
    </xf>
    <xf numFmtId="0" fontId="7" fillId="3" borderId="7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5" xfId="0" applyNumberFormat="1" applyFont="1" applyFill="1" applyBorder="1" applyAlignment="1">
      <alignment horizontal="left"/>
    </xf>
    <xf numFmtId="0" fontId="0" fillId="3" borderId="3" xfId="0" applyFill="1" applyBorder="1" applyAlignment="1"/>
    <xf numFmtId="0" fontId="7" fillId="3" borderId="7" xfId="0" applyFont="1" applyFill="1" applyBorder="1">
      <alignment horizontal="left"/>
    </xf>
    <xf numFmtId="0" fontId="7" fillId="3" borderId="5" xfId="0" applyFont="1" applyFill="1" applyBorder="1">
      <alignment horizontal="left"/>
    </xf>
    <xf numFmtId="0" fontId="7" fillId="3" borderId="5" xfId="0" applyNumberFormat="1" applyFont="1" applyFill="1" applyBorder="1">
      <alignment horizontal="left"/>
    </xf>
    <xf numFmtId="0" fontId="8" fillId="3" borderId="5" xfId="0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6" xfId="0" applyNumberFormat="1" applyFont="1" applyFill="1" applyBorder="1" applyAlignment="1">
      <alignment horizontal="left"/>
    </xf>
    <xf numFmtId="0" fontId="0" fillId="3" borderId="6" xfId="0" applyFill="1" applyBorder="1" applyAlignment="1"/>
    <xf numFmtId="0" fontId="0" fillId="3" borderId="4" xfId="0" applyFill="1" applyBorder="1" applyAlignment="1"/>
    <xf numFmtId="0" fontId="9" fillId="3" borderId="0" xfId="0" applyFont="1" applyFill="1" applyBorder="1" applyAlignment="1"/>
    <xf numFmtId="0" fontId="4" fillId="3" borderId="17" xfId="0" applyFont="1" applyFill="1" applyBorder="1" applyAlignment="1">
      <alignment horizontal="center"/>
    </xf>
    <xf numFmtId="0" fontId="9" fillId="3" borderId="23" xfId="0" applyFont="1" applyFill="1" applyBorder="1" applyAlignment="1"/>
    <xf numFmtId="0" fontId="0" fillId="3" borderId="26" xfId="0" applyFill="1" applyBorder="1" applyAlignment="1"/>
    <xf numFmtId="0" fontId="0" fillId="3" borderId="27" xfId="0" applyFill="1" applyBorder="1" applyAlignment="1"/>
    <xf numFmtId="0" fontId="4" fillId="3" borderId="21" xfId="0" applyFont="1" applyFill="1" applyBorder="1" applyAlignment="1">
      <alignment horizontal="right"/>
    </xf>
    <xf numFmtId="0" fontId="11" fillId="3" borderId="28" xfId="0" applyFont="1" applyFill="1" applyBorder="1" applyAlignment="1"/>
    <xf numFmtId="0" fontId="0" fillId="0" borderId="5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29" xfId="0" applyFill="1" applyBorder="1" applyAlignment="1">
      <alignment horizontal="left"/>
    </xf>
    <xf numFmtId="0" fontId="0" fillId="4" borderId="30" xfId="0" applyFill="1" applyBorder="1" applyAlignment="1">
      <alignment horizontal="left"/>
    </xf>
    <xf numFmtId="0" fontId="0" fillId="4" borderId="31" xfId="0" applyFill="1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4" borderId="30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22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Fill="1" applyBorder="1" applyAlignment="1"/>
    <xf numFmtId="0" fontId="5" fillId="5" borderId="17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3" xfId="0" applyFill="1" applyBorder="1" applyAlignment="1"/>
    <xf numFmtId="0" fontId="0" fillId="0" borderId="6" xfId="0" applyFill="1" applyBorder="1" applyAlignment="1"/>
    <xf numFmtId="0" fontId="0" fillId="3" borderId="1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0" fillId="3" borderId="23" xfId="0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0" fillId="0" borderId="39" xfId="0" applyFill="1" applyBorder="1" applyAlignment="1"/>
    <xf numFmtId="0" fontId="0" fillId="0" borderId="22" xfId="0" applyFill="1" applyBorder="1" applyAlignment="1"/>
    <xf numFmtId="0" fontId="0" fillId="0" borderId="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/>
    <xf numFmtId="0" fontId="13" fillId="0" borderId="5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" fillId="0" borderId="17" xfId="0" applyFont="1" applyBorder="1" applyAlignment="1"/>
    <xf numFmtId="0" fontId="1" fillId="0" borderId="22" xfId="0" applyFont="1" applyBorder="1" applyAlignment="1">
      <alignment horizontal="center"/>
    </xf>
    <xf numFmtId="0" fontId="1" fillId="0" borderId="7" xfId="0" applyFont="1" applyBorder="1" applyAlignment="1"/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7" xfId="0" applyFont="1" applyBorder="1" applyAlignment="1"/>
    <xf numFmtId="0" fontId="13" fillId="0" borderId="17" xfId="0" applyFont="1" applyBorder="1" applyAlignment="1">
      <alignment wrapText="1"/>
    </xf>
    <xf numFmtId="0" fontId="13" fillId="0" borderId="46" xfId="0" applyFont="1" applyBorder="1" applyAlignment="1">
      <alignment wrapText="1"/>
    </xf>
    <xf numFmtId="0" fontId="13" fillId="0" borderId="8" xfId="0" applyFont="1" applyBorder="1" applyAlignment="1"/>
    <xf numFmtId="0" fontId="0" fillId="0" borderId="32" xfId="0" applyFill="1" applyBorder="1" applyAlignment="1">
      <alignment horizontal="center"/>
    </xf>
    <xf numFmtId="0" fontId="0" fillId="6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17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6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5" fillId="5" borderId="17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/>
    <xf numFmtId="0" fontId="0" fillId="3" borderId="19" xfId="0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0" fillId="3" borderId="7" xfId="0" applyFill="1" applyBorder="1" applyAlignment="1"/>
    <xf numFmtId="0" fontId="0" fillId="4" borderId="46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6" fillId="0" borderId="5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6" fillId="0" borderId="5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left"/>
    </xf>
    <xf numFmtId="0" fontId="0" fillId="7" borderId="17" xfId="0" applyFill="1" applyBorder="1" applyAlignment="1">
      <alignment horizontal="left"/>
    </xf>
    <xf numFmtId="0" fontId="0" fillId="0" borderId="37" xfId="0" applyBorder="1" applyAlignment="1">
      <alignment horizontal="center"/>
    </xf>
    <xf numFmtId="0" fontId="0" fillId="7" borderId="8" xfId="0" applyFill="1" applyBorder="1" applyAlignment="1">
      <alignment horizontal="left"/>
    </xf>
    <xf numFmtId="0" fontId="0" fillId="7" borderId="46" xfId="0" applyFill="1" applyBorder="1" applyAlignment="1">
      <alignment horizontal="center"/>
    </xf>
    <xf numFmtId="0" fontId="5" fillId="4" borderId="22" xfId="0" applyFont="1" applyFill="1" applyBorder="1" applyAlignment="1">
      <alignment horizontal="center" vertical="center"/>
    </xf>
    <xf numFmtId="2" fontId="0" fillId="0" borderId="6" xfId="0" applyNumberFormat="1" applyBorder="1" applyAlignment="1">
      <alignment horizontal="right"/>
    </xf>
    <xf numFmtId="166" fontId="0" fillId="0" borderId="6" xfId="0" applyNumberFormat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166" fontId="0" fillId="0" borderId="5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9" fillId="0" borderId="0" xfId="0" applyFont="1" applyBorder="1" applyAlignment="1">
      <alignment horizontal="center" wrapText="1"/>
    </xf>
    <xf numFmtId="0" fontId="0" fillId="7" borderId="47" xfId="0" applyFill="1" applyBorder="1" applyAlignment="1">
      <alignment horizontal="center"/>
    </xf>
    <xf numFmtId="0" fontId="0" fillId="3" borderId="5" xfId="0" applyFill="1" applyBorder="1" applyAlignment="1"/>
    <xf numFmtId="0" fontId="0" fillId="0" borderId="5" xfId="0" applyBorder="1" applyAlignment="1"/>
    <xf numFmtId="0" fontId="0" fillId="0" borderId="5" xfId="0" applyFill="1" applyBorder="1" applyAlignment="1">
      <alignment horizontal="center"/>
    </xf>
    <xf numFmtId="0" fontId="4" fillId="3" borderId="2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7" fillId="3" borderId="39" xfId="0" applyFont="1" applyFill="1" applyBorder="1">
      <alignment horizontal="left"/>
    </xf>
    <xf numFmtId="0" fontId="7" fillId="3" borderId="39" xfId="0" applyNumberFormat="1" applyFont="1" applyFill="1" applyBorder="1">
      <alignment horizontal="left"/>
    </xf>
    <xf numFmtId="0" fontId="0" fillId="3" borderId="39" xfId="0" applyFill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5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8" xfId="0" applyFill="1" applyBorder="1" applyAlignment="1"/>
    <xf numFmtId="0" fontId="7" fillId="3" borderId="46" xfId="0" applyFont="1" applyFill="1" applyBorder="1" applyAlignment="1">
      <alignment horizontal="left"/>
    </xf>
    <xf numFmtId="0" fontId="7" fillId="3" borderId="6" xfId="0" applyFont="1" applyFill="1" applyBorder="1">
      <alignment horizontal="left"/>
    </xf>
    <xf numFmtId="0" fontId="0" fillId="3" borderId="6" xfId="0" applyFill="1" applyBorder="1" applyAlignment="1">
      <alignment horizontal="center"/>
    </xf>
    <xf numFmtId="0" fontId="8" fillId="3" borderId="5" xfId="0" applyNumberFormat="1" applyFont="1" applyFill="1" applyBorder="1" applyAlignment="1">
      <alignment horizontal="center"/>
    </xf>
    <xf numFmtId="0" fontId="7" fillId="3" borderId="39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0" fillId="4" borderId="31" xfId="0" applyFill="1" applyBorder="1" applyAlignment="1">
      <alignment horizontal="left" vertical="center"/>
    </xf>
    <xf numFmtId="0" fontId="0" fillId="3" borderId="32" xfId="0" applyFill="1" applyBorder="1" applyAlignment="1">
      <alignment horizontal="center" vertical="center"/>
    </xf>
    <xf numFmtId="0" fontId="0" fillId="4" borderId="59" xfId="0" applyFill="1" applyBorder="1" applyAlignment="1">
      <alignment horizontal="left" vertical="center"/>
    </xf>
    <xf numFmtId="0" fontId="0" fillId="3" borderId="3" xfId="0" applyFill="1" applyBorder="1" applyAlignment="1">
      <alignment horizontal="right"/>
    </xf>
    <xf numFmtId="0" fontId="0" fillId="3" borderId="4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0" borderId="3" xfId="0" applyBorder="1" applyAlignment="1"/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7" borderId="65" xfId="0" applyFill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7" borderId="66" xfId="0" applyFill="1" applyBorder="1" applyAlignment="1">
      <alignment horizontal="center"/>
    </xf>
    <xf numFmtId="0" fontId="0" fillId="0" borderId="48" xfId="0" applyBorder="1" applyAlignment="1"/>
    <xf numFmtId="0" fontId="0" fillId="7" borderId="26" xfId="0" applyFill="1" applyBorder="1" applyAlignment="1">
      <alignment horizontal="center"/>
    </xf>
    <xf numFmtId="0" fontId="0" fillId="0" borderId="3" xfId="0" applyBorder="1" applyAlignment="1"/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4" borderId="46" xfId="0" applyFont="1" applyFill="1" applyBorder="1" applyAlignment="1">
      <alignment horizontal="center"/>
    </xf>
    <xf numFmtId="0" fontId="0" fillId="4" borderId="67" xfId="0" applyFill="1" applyBorder="1" applyAlignment="1">
      <alignment horizontal="left" vertical="center"/>
    </xf>
    <xf numFmtId="0" fontId="0" fillId="0" borderId="68" xfId="0" applyBorder="1" applyAlignment="1">
      <alignment horizontal="center"/>
    </xf>
    <xf numFmtId="0" fontId="0" fillId="0" borderId="46" xfId="0" applyFill="1" applyBorder="1" applyAlignment="1">
      <alignment horizontal="left"/>
    </xf>
    <xf numFmtId="2" fontId="0" fillId="0" borderId="39" xfId="0" applyNumberFormat="1" applyBorder="1" applyAlignment="1">
      <alignment horizontal="right"/>
    </xf>
    <xf numFmtId="166" fontId="0" fillId="0" borderId="39" xfId="0" applyNumberFormat="1" applyBorder="1" applyAlignment="1">
      <alignment horizontal="right"/>
    </xf>
    <xf numFmtId="0" fontId="0" fillId="0" borderId="41" xfId="0" applyBorder="1" applyAlignment="1"/>
    <xf numFmtId="0" fontId="0" fillId="7" borderId="65" xfId="0" applyFill="1" applyBorder="1" applyAlignment="1">
      <alignment horizontal="left"/>
    </xf>
    <xf numFmtId="0" fontId="0" fillId="7" borderId="26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6" borderId="32" xfId="0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wrapText="1"/>
    </xf>
    <xf numFmtId="0" fontId="4" fillId="6" borderId="60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ont="1" applyBorder="1" applyAlignment="1"/>
    <xf numFmtId="0" fontId="0" fillId="0" borderId="7" xfId="0" applyFont="1" applyBorder="1" applyAlignment="1">
      <alignment wrapText="1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6" borderId="33" xfId="0" applyFont="1" applyFill="1" applyBorder="1" applyAlignment="1">
      <alignment wrapText="1"/>
    </xf>
    <xf numFmtId="0" fontId="4" fillId="6" borderId="59" xfId="0" applyFont="1" applyFill="1" applyBorder="1" applyAlignment="1">
      <alignment wrapText="1"/>
    </xf>
    <xf numFmtId="0" fontId="4" fillId="0" borderId="21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wrapText="1"/>
    </xf>
    <xf numFmtId="0" fontId="0" fillId="4" borderId="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6" borderId="49" xfId="0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wrapText="1"/>
    </xf>
    <xf numFmtId="0" fontId="13" fillId="0" borderId="5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17" xfId="0" applyFill="1" applyBorder="1" applyAlignment="1">
      <alignment horizontal="left" vertical="center"/>
    </xf>
    <xf numFmtId="0" fontId="0" fillId="6" borderId="22" xfId="0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3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vertical="top" wrapText="1"/>
    </xf>
    <xf numFmtId="0" fontId="5" fillId="5" borderId="17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1" fillId="0" borderId="6" xfId="0" applyFont="1" applyFill="1" applyBorder="1" applyAlignment="1">
      <alignment horizontal="center"/>
    </xf>
    <xf numFmtId="0" fontId="0" fillId="4" borderId="29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0" fillId="0" borderId="12" xfId="0" applyBorder="1" applyAlignment="1">
      <alignment horizontal="center"/>
    </xf>
    <xf numFmtId="0" fontId="0" fillId="6" borderId="12" xfId="0" applyFill="1" applyBorder="1" applyAlignment="1">
      <alignment horizontal="center" vertical="center"/>
    </xf>
    <xf numFmtId="0" fontId="0" fillId="6" borderId="70" xfId="0" applyFill="1" applyBorder="1" applyAlignment="1">
      <alignment horizontal="center" vertical="center"/>
    </xf>
    <xf numFmtId="0" fontId="0" fillId="4" borderId="33" xfId="0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0" borderId="3" xfId="0" applyBorder="1" applyAlignment="1"/>
    <xf numFmtId="0" fontId="0" fillId="0" borderId="3" xfId="0" applyBorder="1" applyAlignment="1"/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0" xfId="0" applyAlignment="1">
      <alignment wrapText="1"/>
    </xf>
    <xf numFmtId="0" fontId="0" fillId="7" borderId="47" xfId="0" applyFill="1" applyBorder="1" applyAlignment="1">
      <alignment horizontal="center" wrapText="1"/>
    </xf>
    <xf numFmtId="0" fontId="0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/>
    </xf>
    <xf numFmtId="0" fontId="0" fillId="7" borderId="1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3" xfId="0" applyBorder="1" applyAlignment="1">
      <alignment horizont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5" xfId="0" applyBorder="1" applyAlignment="1"/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39" xfId="0" applyBorder="1" applyAlignment="1"/>
    <xf numFmtId="0" fontId="15" fillId="0" borderId="39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vertical="center"/>
    </xf>
    <xf numFmtId="2" fontId="15" fillId="0" borderId="54" xfId="0" applyNumberFormat="1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/>
    </xf>
    <xf numFmtId="0" fontId="0" fillId="8" borderId="5" xfId="0" applyFill="1" applyBorder="1" applyAlignment="1">
      <alignment vertical="top" wrapText="1"/>
    </xf>
    <xf numFmtId="0" fontId="0" fillId="7" borderId="16" xfId="0" applyFill="1" applyBorder="1" applyAlignment="1">
      <alignment horizontal="center" wrapText="1"/>
    </xf>
    <xf numFmtId="0" fontId="0" fillId="0" borderId="5" xfId="0" applyBorder="1" applyAlignment="1"/>
    <xf numFmtId="0" fontId="0" fillId="0" borderId="5" xfId="0" applyBorder="1" applyAlignment="1"/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4" borderId="17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46" xfId="0" applyFill="1" applyBorder="1" applyAlignment="1">
      <alignment horizontal="left"/>
    </xf>
    <xf numFmtId="0" fontId="0" fillId="0" borderId="39" xfId="0" applyFill="1" applyBorder="1" applyAlignment="1">
      <alignment horizontal="center"/>
    </xf>
    <xf numFmtId="0" fontId="0" fillId="4" borderId="8" xfId="0" applyFill="1" applyBorder="1" applyAlignment="1">
      <alignment horizontal="left" vertical="center"/>
    </xf>
    <xf numFmtId="0" fontId="0" fillId="6" borderId="6" xfId="0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6" xfId="0" applyFill="1" applyBorder="1" applyAlignment="1">
      <alignment horizontal="center" vertical="center"/>
    </xf>
    <xf numFmtId="0" fontId="0" fillId="8" borderId="7" xfId="0" applyFill="1" applyBorder="1" applyAlignment="1">
      <alignment vertical="top" wrapText="1"/>
    </xf>
    <xf numFmtId="0" fontId="7" fillId="8" borderId="46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left"/>
    </xf>
    <xf numFmtId="0" fontId="16" fillId="0" borderId="0" xfId="0" applyFont="1" applyBorder="1" applyAlignment="1"/>
    <xf numFmtId="0" fontId="0" fillId="0" borderId="0" xfId="0" applyFill="1" applyBorder="1" applyAlignment="1"/>
    <xf numFmtId="2" fontId="0" fillId="0" borderId="0" xfId="0" applyNumberFormat="1" applyAlignment="1"/>
    <xf numFmtId="2" fontId="0" fillId="0" borderId="5" xfId="0" applyNumberFormat="1" applyBorder="1" applyAlignment="1" applyProtection="1">
      <alignment horizontal="right"/>
      <protection locked="0"/>
    </xf>
    <xf numFmtId="2" fontId="0" fillId="0" borderId="39" xfId="0" applyNumberFormat="1" applyBorder="1" applyAlignment="1" applyProtection="1">
      <protection locked="0"/>
    </xf>
    <xf numFmtId="2" fontId="0" fillId="0" borderId="5" xfId="0" applyNumberFormat="1" applyBorder="1" applyAlignment="1" applyProtection="1">
      <protection locked="0"/>
    </xf>
    <xf numFmtId="2" fontId="0" fillId="0" borderId="6" xfId="0" applyNumberFormat="1" applyBorder="1" applyAlignment="1" applyProtection="1">
      <protection locked="0"/>
    </xf>
    <xf numFmtId="0" fontId="16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2" fontId="0" fillId="0" borderId="43" xfId="0" applyNumberFormat="1" applyBorder="1" applyAlignment="1" applyProtection="1">
      <alignment horizontal="center"/>
      <protection locked="0"/>
    </xf>
    <xf numFmtId="2" fontId="6" fillId="0" borderId="43" xfId="0" applyNumberFormat="1" applyFont="1" applyFill="1" applyBorder="1" applyAlignment="1" applyProtection="1">
      <alignment horizontal="center"/>
      <protection locked="0"/>
    </xf>
    <xf numFmtId="2" fontId="6" fillId="0" borderId="43" xfId="0" applyNumberFormat="1" applyFont="1" applyFill="1" applyBorder="1" applyAlignment="1" applyProtection="1">
      <alignment horizontal="center" vertical="center"/>
      <protection locked="0"/>
    </xf>
    <xf numFmtId="2" fontId="0" fillId="0" borderId="48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2" fontId="6" fillId="0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5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Alignment="1">
      <alignment horizontal="center"/>
    </xf>
    <xf numFmtId="0" fontId="17" fillId="0" borderId="0" xfId="0" applyFont="1" applyFill="1" applyBorder="1" applyAlignment="1">
      <alignment vertical="center" textRotation="90"/>
    </xf>
    <xf numFmtId="2" fontId="6" fillId="0" borderId="58" xfId="0" applyNumberFormat="1" applyFont="1" applyFill="1" applyBorder="1" applyAlignment="1" applyProtection="1">
      <alignment horizontal="center"/>
      <protection locked="0"/>
    </xf>
    <xf numFmtId="2" fontId="6" fillId="0" borderId="5" xfId="0" applyNumberFormat="1" applyFont="1" applyFill="1" applyBorder="1" applyAlignment="1" applyProtection="1">
      <alignment horizontal="right"/>
      <protection hidden="1"/>
    </xf>
    <xf numFmtId="2" fontId="0" fillId="0" borderId="5" xfId="0" applyNumberFormat="1" applyBorder="1" applyAlignment="1" applyProtection="1">
      <alignment horizontal="right"/>
      <protection hidden="1"/>
    </xf>
    <xf numFmtId="2" fontId="6" fillId="0" borderId="5" xfId="0" applyNumberFormat="1" applyFont="1" applyFill="1" applyBorder="1" applyAlignment="1" applyProtection="1">
      <alignment horizontal="right" vertical="center"/>
      <protection hidden="1"/>
    </xf>
    <xf numFmtId="2" fontId="0" fillId="0" borderId="39" xfId="0" applyNumberFormat="1" applyBorder="1" applyAlignment="1" applyProtection="1">
      <protection hidden="1"/>
    </xf>
    <xf numFmtId="2" fontId="0" fillId="0" borderId="6" xfId="0" applyNumberFormat="1" applyBorder="1" applyAlignment="1" applyProtection="1">
      <protection hidden="1"/>
    </xf>
    <xf numFmtId="2" fontId="0" fillId="0" borderId="3" xfId="0" applyNumberFormat="1" applyBorder="1" applyAlignment="1" applyProtection="1">
      <protection hidden="1"/>
    </xf>
    <xf numFmtId="2" fontId="0" fillId="0" borderId="4" xfId="0" applyNumberFormat="1" applyBorder="1" applyAlignment="1" applyProtection="1">
      <protection hidden="1"/>
    </xf>
    <xf numFmtId="2" fontId="6" fillId="0" borderId="22" xfId="0" applyNumberFormat="1" applyFont="1" applyFill="1" applyBorder="1" applyAlignment="1" applyProtection="1">
      <alignment horizontal="right"/>
      <protection hidden="1"/>
    </xf>
    <xf numFmtId="2" fontId="0" fillId="0" borderId="5" xfId="0" applyNumberFormat="1" applyBorder="1" applyAlignment="1" applyProtection="1">
      <protection hidden="1"/>
    </xf>
    <xf numFmtId="2" fontId="0" fillId="0" borderId="3" xfId="0" applyNumberFormat="1" applyBorder="1" applyAlignment="1" applyProtection="1">
      <alignment horizontal="right"/>
      <protection hidden="1"/>
    </xf>
    <xf numFmtId="2" fontId="0" fillId="0" borderId="4" xfId="0" applyNumberFormat="1" applyBorder="1" applyAlignment="1" applyProtection="1">
      <alignment horizontal="right"/>
      <protection hidden="1"/>
    </xf>
    <xf numFmtId="0" fontId="0" fillId="3" borderId="18" xfId="0" applyFill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5" xfId="0" applyBorder="1" applyAlignment="1"/>
    <xf numFmtId="0" fontId="0" fillId="3" borderId="18" xfId="0" applyFill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5" xfId="0" applyBorder="1" applyAlignment="1"/>
    <xf numFmtId="0" fontId="0" fillId="0" borderId="5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30" xfId="0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0" fillId="8" borderId="0" xfId="0" applyFill="1" applyBorder="1" applyAlignment="1">
      <alignment horizontal="left" vertical="center"/>
    </xf>
    <xf numFmtId="0" fontId="0" fillId="8" borderId="0" xfId="0" applyFill="1" applyBorder="1" applyAlignment="1"/>
    <xf numFmtId="0" fontId="4" fillId="8" borderId="55" xfId="0" applyFont="1" applyFill="1" applyBorder="1" applyAlignment="1">
      <alignment horizontal="left"/>
    </xf>
    <xf numFmtId="0" fontId="0" fillId="8" borderId="23" xfId="0" applyFill="1" applyBorder="1" applyAlignment="1">
      <alignment horizontal="left"/>
    </xf>
    <xf numFmtId="0" fontId="0" fillId="8" borderId="56" xfId="0" applyFill="1" applyBorder="1" applyAlignment="1">
      <alignment horizontal="left"/>
    </xf>
    <xf numFmtId="0" fontId="0" fillId="8" borderId="0" xfId="0" applyFill="1" applyAlignment="1"/>
    <xf numFmtId="0" fontId="4" fillId="4" borderId="5" xfId="0" applyFont="1" applyFill="1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0" fillId="0" borderId="0" xfId="0" applyNumberFormat="1" applyFill="1" applyBorder="1" applyAlignment="1" applyProtection="1">
      <protection hidden="1"/>
    </xf>
    <xf numFmtId="0" fontId="9" fillId="0" borderId="0" xfId="0" applyFont="1" applyBorder="1" applyAlignment="1">
      <alignment wrapText="1"/>
    </xf>
    <xf numFmtId="0" fontId="0" fillId="0" borderId="0" xfId="0" applyFill="1" applyBorder="1" applyAlignment="1">
      <alignment vertical="center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 wrapText="1"/>
      <protection locked="0"/>
    </xf>
    <xf numFmtId="0" fontId="20" fillId="0" borderId="0" xfId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center"/>
    </xf>
    <xf numFmtId="0" fontId="2" fillId="0" borderId="26" xfId="0" applyFont="1" applyBorder="1" applyAlignment="1"/>
    <xf numFmtId="0" fontId="21" fillId="0" borderId="0" xfId="0" applyFont="1" applyAlignment="1"/>
    <xf numFmtId="0" fontId="21" fillId="0" borderId="47" xfId="0" applyFont="1" applyFill="1" applyBorder="1" applyAlignment="1">
      <alignment vertical="center"/>
    </xf>
    <xf numFmtId="2" fontId="21" fillId="0" borderId="23" xfId="0" applyNumberFormat="1" applyFont="1" applyFill="1" applyBorder="1" applyAlignment="1" applyProtection="1">
      <alignment horizontal="center"/>
      <protection locked="0"/>
    </xf>
    <xf numFmtId="2" fontId="21" fillId="0" borderId="56" xfId="0" applyNumberFormat="1" applyFont="1" applyFill="1" applyBorder="1" applyAlignment="1" applyProtection="1">
      <protection hidden="1"/>
    </xf>
    <xf numFmtId="0" fontId="24" fillId="0" borderId="0" xfId="0" applyFont="1" applyBorder="1" applyAlignment="1"/>
    <xf numFmtId="0" fontId="21" fillId="0" borderId="7" xfId="0" applyFont="1" applyFill="1" applyBorder="1" applyAlignment="1"/>
    <xf numFmtId="0" fontId="21" fillId="0" borderId="43" xfId="0" applyFont="1" applyFill="1" applyBorder="1" applyAlignment="1" applyProtection="1">
      <alignment horizontal="center"/>
      <protection locked="0"/>
    </xf>
    <xf numFmtId="2" fontId="21" fillId="0" borderId="3" xfId="0" applyNumberFormat="1" applyFont="1" applyFill="1" applyBorder="1" applyAlignment="1" applyProtection="1">
      <protection hidden="1"/>
    </xf>
    <xf numFmtId="0" fontId="21" fillId="0" borderId="0" xfId="0" applyFont="1" applyBorder="1" applyAlignment="1"/>
    <xf numFmtId="2" fontId="21" fillId="0" borderId="43" xfId="0" applyNumberFormat="1" applyFont="1" applyFill="1" applyBorder="1" applyAlignment="1" applyProtection="1">
      <alignment horizontal="center"/>
      <protection locked="0"/>
    </xf>
    <xf numFmtId="2" fontId="21" fillId="0" borderId="41" xfId="0" applyNumberFormat="1" applyFont="1" applyFill="1" applyBorder="1" applyAlignment="1" applyProtection="1">
      <protection hidden="1"/>
    </xf>
    <xf numFmtId="0" fontId="21" fillId="0" borderId="7" xfId="0" applyFont="1" applyFill="1" applyBorder="1" applyAlignment="1">
      <alignment vertical="center"/>
    </xf>
    <xf numFmtId="2" fontId="21" fillId="0" borderId="43" xfId="0" applyNumberFormat="1" applyFont="1" applyFill="1" applyBorder="1" applyAlignment="1" applyProtection="1">
      <alignment horizontal="center" wrapText="1"/>
      <protection locked="0"/>
    </xf>
    <xf numFmtId="2" fontId="21" fillId="0" borderId="42" xfId="0" applyNumberFormat="1" applyFont="1" applyFill="1" applyBorder="1" applyAlignment="1" applyProtection="1">
      <alignment horizontal="center"/>
      <protection locked="0"/>
    </xf>
    <xf numFmtId="2" fontId="21" fillId="0" borderId="25" xfId="0" applyNumberFormat="1" applyFont="1" applyFill="1" applyBorder="1" applyAlignment="1" applyProtection="1">
      <protection hidden="1"/>
    </xf>
    <xf numFmtId="0" fontId="21" fillId="0" borderId="8" xfId="0" applyFont="1" applyFill="1" applyBorder="1" applyAlignment="1">
      <alignment vertical="center"/>
    </xf>
    <xf numFmtId="2" fontId="21" fillId="0" borderId="48" xfId="0" applyNumberFormat="1" applyFont="1" applyFill="1" applyBorder="1" applyAlignment="1" applyProtection="1">
      <alignment horizontal="center"/>
      <protection locked="0"/>
    </xf>
    <xf numFmtId="2" fontId="21" fillId="0" borderId="4" xfId="0" applyNumberFormat="1" applyFont="1" applyFill="1" applyBorder="1" applyAlignment="1" applyProtection="1">
      <protection hidden="1"/>
    </xf>
    <xf numFmtId="0" fontId="21" fillId="0" borderId="0" xfId="0" applyFont="1" applyFill="1" applyBorder="1" applyAlignment="1">
      <alignment vertical="center"/>
    </xf>
    <xf numFmtId="0" fontId="23" fillId="0" borderId="0" xfId="1" applyFont="1" applyFill="1" applyBorder="1" applyAlignment="1">
      <alignment horizontal="left"/>
    </xf>
    <xf numFmtId="2" fontId="21" fillId="0" borderId="0" xfId="0" applyNumberFormat="1" applyFont="1" applyFill="1" applyBorder="1" applyAlignment="1" applyProtection="1">
      <alignment horizontal="center"/>
      <protection locked="0"/>
    </xf>
    <xf numFmtId="2" fontId="21" fillId="0" borderId="0" xfId="0" applyNumberFormat="1" applyFont="1" applyFill="1" applyBorder="1" applyAlignment="1" applyProtection="1">
      <protection hidden="1"/>
    </xf>
    <xf numFmtId="0" fontId="25" fillId="0" borderId="0" xfId="0" applyFont="1" applyAlignment="1"/>
    <xf numFmtId="0" fontId="21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left"/>
    </xf>
    <xf numFmtId="2" fontId="26" fillId="0" borderId="5" xfId="0" applyNumberFormat="1" applyFont="1" applyFill="1" applyBorder="1" applyAlignment="1" applyProtection="1">
      <alignment horizontal="right"/>
      <protection hidden="1"/>
    </xf>
    <xf numFmtId="2" fontId="26" fillId="0" borderId="5" xfId="0" applyNumberFormat="1" applyFont="1" applyFill="1" applyBorder="1" applyAlignment="1" applyProtection="1">
      <alignment horizontal="center"/>
      <protection locked="0"/>
    </xf>
    <xf numFmtId="2" fontId="21" fillId="0" borderId="3" xfId="0" applyNumberFormat="1" applyFont="1" applyBorder="1" applyAlignment="1" applyProtection="1">
      <protection hidden="1"/>
    </xf>
    <xf numFmtId="2" fontId="21" fillId="0" borderId="0" xfId="0" applyNumberFormat="1" applyFont="1" applyBorder="1" applyAlignment="1" applyProtection="1">
      <protection hidden="1"/>
    </xf>
    <xf numFmtId="0" fontId="21" fillId="0" borderId="7" xfId="0" applyFont="1" applyFill="1" applyBorder="1" applyAlignment="1">
      <alignment horizontal="left"/>
    </xf>
    <xf numFmtId="2" fontId="21" fillId="0" borderId="5" xfId="0" applyNumberFormat="1" applyFont="1" applyBorder="1" applyAlignment="1" applyProtection="1">
      <alignment horizontal="right"/>
      <protection hidden="1"/>
    </xf>
    <xf numFmtId="2" fontId="21" fillId="0" borderId="5" xfId="0" applyNumberFormat="1" applyFont="1" applyBorder="1" applyAlignment="1" applyProtection="1">
      <alignment horizontal="center"/>
      <protection locked="0"/>
    </xf>
    <xf numFmtId="0" fontId="21" fillId="0" borderId="0" xfId="0" applyFont="1" applyFill="1" applyAlignment="1"/>
    <xf numFmtId="2" fontId="26" fillId="0" borderId="5" xfId="0" applyNumberFormat="1" applyFont="1" applyFill="1" applyBorder="1" applyAlignment="1" applyProtection="1">
      <alignment horizontal="right" vertical="center"/>
      <protection hidden="1"/>
    </xf>
    <xf numFmtId="2" fontId="26" fillId="0" borderId="5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2" fontId="21" fillId="0" borderId="43" xfId="0" applyNumberFormat="1" applyFont="1" applyBorder="1" applyAlignment="1" applyProtection="1">
      <alignment horizontal="center"/>
      <protection locked="0"/>
    </xf>
    <xf numFmtId="2" fontId="21" fillId="0" borderId="5" xfId="0" applyNumberFormat="1" applyFont="1" applyBorder="1" applyAlignment="1" applyProtection="1">
      <protection hidden="1"/>
    </xf>
    <xf numFmtId="2" fontId="21" fillId="0" borderId="5" xfId="0" applyNumberFormat="1" applyFont="1" applyBorder="1" applyAlignment="1" applyProtection="1">
      <alignment horizontal="center" wrapText="1"/>
      <protection locked="0"/>
    </xf>
    <xf numFmtId="0" fontId="21" fillId="8" borderId="7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27" fillId="0" borderId="0" xfId="0" applyFont="1" applyBorder="1" applyAlignment="1">
      <alignment vertical="center" textRotation="90"/>
    </xf>
    <xf numFmtId="0" fontId="28" fillId="0" borderId="0" xfId="0" applyFont="1" applyBorder="1" applyAlignment="1">
      <alignment vertical="center" textRotation="90"/>
    </xf>
    <xf numFmtId="2" fontId="25" fillId="0" borderId="0" xfId="0" applyNumberFormat="1" applyFont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1" fillId="0" borderId="57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72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24" xfId="0" applyNumberFormat="1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76" xfId="0" applyFont="1" applyBorder="1" applyAlignment="1">
      <alignment horizontal="center"/>
    </xf>
    <xf numFmtId="0" fontId="29" fillId="5" borderId="17" xfId="0" applyFont="1" applyFill="1" applyBorder="1" applyAlignment="1">
      <alignment horizontal="center" vertical="center"/>
    </xf>
    <xf numFmtId="0" fontId="29" fillId="5" borderId="22" xfId="0" applyFont="1" applyFill="1" applyBorder="1" applyAlignment="1">
      <alignment horizontal="center" vertical="center"/>
    </xf>
    <xf numFmtId="0" fontId="29" fillId="9" borderId="22" xfId="0" applyFont="1" applyFill="1" applyBorder="1" applyAlignment="1">
      <alignment horizontal="center" vertical="center"/>
    </xf>
    <xf numFmtId="0" fontId="29" fillId="5" borderId="19" xfId="0" applyFont="1" applyFill="1" applyBorder="1" applyAlignment="1">
      <alignment horizontal="center"/>
    </xf>
    <xf numFmtId="0" fontId="21" fillId="9" borderId="74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7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1" fillId="8" borderId="66" xfId="0" applyFont="1" applyFill="1" applyBorder="1" applyAlignment="1">
      <alignment vertical="center"/>
    </xf>
    <xf numFmtId="2" fontId="21" fillId="0" borderId="68" xfId="0" applyNumberFormat="1" applyFont="1" applyBorder="1" applyAlignment="1" applyProtection="1">
      <protection hidden="1"/>
    </xf>
    <xf numFmtId="2" fontId="21" fillId="0" borderId="68" xfId="0" applyNumberFormat="1" applyFont="1" applyBorder="1" applyAlignment="1" applyProtection="1">
      <alignment horizontal="center"/>
      <protection locked="0"/>
    </xf>
    <xf numFmtId="2" fontId="21" fillId="0" borderId="76" xfId="0" applyNumberFormat="1" applyFont="1" applyBorder="1" applyAlignment="1" applyProtection="1">
      <protection hidden="1"/>
    </xf>
    <xf numFmtId="2" fontId="29" fillId="0" borderId="70" xfId="0" applyNumberFormat="1" applyFont="1" applyBorder="1" applyAlignment="1">
      <alignment horizontal="right"/>
    </xf>
    <xf numFmtId="0" fontId="30" fillId="10" borderId="23" xfId="1" applyFont="1" applyBorder="1" applyAlignment="1">
      <alignment horizontal="left"/>
    </xf>
    <xf numFmtId="0" fontId="30" fillId="10" borderId="5" xfId="1" applyFont="1" applyBorder="1" applyAlignment="1">
      <alignment horizontal="left"/>
    </xf>
    <xf numFmtId="0" fontId="30" fillId="10" borderId="6" xfId="1" applyFont="1" applyBorder="1" applyAlignment="1">
      <alignment horizontal="left"/>
    </xf>
    <xf numFmtId="0" fontId="31" fillId="9" borderId="4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2" fontId="21" fillId="0" borderId="5" xfId="0" applyNumberFormat="1" applyFont="1" applyFill="1" applyBorder="1" applyAlignment="1" applyProtection="1">
      <alignment horizontal="center"/>
      <protection locked="0"/>
    </xf>
    <xf numFmtId="2" fontId="26" fillId="0" borderId="43" xfId="0" applyNumberFormat="1" applyFont="1" applyFill="1" applyBorder="1" applyAlignment="1" applyProtection="1">
      <alignment horizontal="center"/>
      <protection locked="0"/>
    </xf>
    <xf numFmtId="1" fontId="21" fillId="0" borderId="43" xfId="0" applyNumberFormat="1" applyFont="1" applyBorder="1" applyAlignment="1" applyProtection="1">
      <alignment horizontal="center"/>
      <protection locked="0"/>
    </xf>
    <xf numFmtId="2" fontId="26" fillId="0" borderId="43" xfId="0" applyNumberFormat="1" applyFont="1" applyFill="1" applyBorder="1" applyAlignment="1" applyProtection="1">
      <alignment horizontal="center" vertical="center"/>
      <protection locked="0"/>
    </xf>
    <xf numFmtId="2" fontId="21" fillId="0" borderId="39" xfId="0" applyNumberFormat="1" applyFont="1" applyBorder="1" applyAlignment="1" applyProtection="1">
      <protection hidden="1"/>
    </xf>
    <xf numFmtId="2" fontId="21" fillId="0" borderId="41" xfId="0" applyNumberFormat="1" applyFont="1" applyBorder="1" applyAlignment="1" applyProtection="1">
      <protection hidden="1"/>
    </xf>
    <xf numFmtId="2" fontId="21" fillId="0" borderId="43" xfId="0" applyNumberFormat="1" applyFont="1" applyBorder="1" applyAlignment="1" applyProtection="1">
      <alignment horizontal="center" wrapText="1"/>
      <protection locked="0"/>
    </xf>
    <xf numFmtId="2" fontId="21" fillId="0" borderId="6" xfId="0" applyNumberFormat="1" applyFont="1" applyBorder="1" applyAlignment="1" applyProtection="1">
      <protection hidden="1"/>
    </xf>
    <xf numFmtId="2" fontId="21" fillId="0" borderId="6" xfId="0" applyNumberFormat="1" applyFont="1" applyBorder="1" applyAlignment="1" applyProtection="1">
      <alignment horizontal="center"/>
      <protection locked="0"/>
    </xf>
    <xf numFmtId="2" fontId="21" fillId="0" borderId="4" xfId="0" applyNumberFormat="1" applyFont="1" applyBorder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1" fillId="12" borderId="17" xfId="0" applyFont="1" applyFill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9" borderId="74" xfId="0" applyFont="1" applyFill="1" applyBorder="1" applyAlignment="1" applyProtection="1">
      <alignment horizontal="center" vertical="center"/>
      <protection hidden="1"/>
    </xf>
    <xf numFmtId="0" fontId="21" fillId="9" borderId="40" xfId="0" applyFont="1" applyFill="1" applyBorder="1" applyAlignment="1" applyProtection="1">
      <alignment horizontal="center" vertical="center"/>
      <protection hidden="1"/>
    </xf>
    <xf numFmtId="0" fontId="21" fillId="9" borderId="75" xfId="0" applyFont="1" applyFill="1" applyBorder="1" applyAlignment="1" applyProtection="1">
      <alignment horizontal="center" vertical="center"/>
      <protection hidden="1"/>
    </xf>
    <xf numFmtId="0" fontId="21" fillId="12" borderId="8" xfId="0" applyFont="1" applyFill="1" applyBorder="1" applyAlignment="1" applyProtection="1">
      <alignment horizontal="center"/>
      <protection hidden="1"/>
    </xf>
    <xf numFmtId="0" fontId="21" fillId="0" borderId="47" xfId="0" applyFont="1" applyFill="1" applyBorder="1" applyAlignment="1" applyProtection="1">
      <alignment vertical="center"/>
      <protection hidden="1"/>
    </xf>
    <xf numFmtId="0" fontId="32" fillId="10" borderId="23" xfId="1" applyFont="1" applyBorder="1" applyAlignment="1" applyProtection="1">
      <alignment horizontal="center" vertical="center"/>
      <protection hidden="1"/>
    </xf>
    <xf numFmtId="0" fontId="21" fillId="12" borderId="36" xfId="0" applyFont="1" applyFill="1" applyBorder="1" applyAlignment="1" applyProtection="1">
      <alignment horizontal="center"/>
      <protection hidden="1"/>
    </xf>
    <xf numFmtId="0" fontId="21" fillId="0" borderId="7" xfId="0" applyFont="1" applyFill="1" applyBorder="1" applyAlignment="1" applyProtection="1">
      <alignment vertical="center"/>
      <protection hidden="1"/>
    </xf>
    <xf numFmtId="0" fontId="21" fillId="12" borderId="7" xfId="0" applyFont="1" applyFill="1" applyBorder="1" applyAlignment="1" applyProtection="1">
      <alignment horizontal="center"/>
      <protection hidden="1"/>
    </xf>
    <xf numFmtId="0" fontId="21" fillId="0" borderId="7" xfId="0" applyFont="1" applyFill="1" applyBorder="1" applyAlignment="1" applyProtection="1">
      <protection hidden="1"/>
    </xf>
    <xf numFmtId="0" fontId="21" fillId="12" borderId="47" xfId="0" applyFont="1" applyFill="1" applyBorder="1" applyAlignment="1" applyProtection="1">
      <alignment horizontal="center"/>
      <protection hidden="1"/>
    </xf>
    <xf numFmtId="0" fontId="21" fillId="0" borderId="22" xfId="0" applyFont="1" applyBorder="1" applyAlignment="1" applyProtection="1">
      <alignment horizontal="center"/>
      <protection hidden="1"/>
    </xf>
    <xf numFmtId="0" fontId="21" fillId="0" borderId="58" xfId="0" applyFont="1" applyBorder="1" applyAlignment="1" applyProtection="1">
      <alignment horizontal="center"/>
      <protection hidden="1"/>
    </xf>
    <xf numFmtId="0" fontId="21" fillId="0" borderId="23" xfId="0" applyFont="1" applyBorder="1" applyAlignment="1" applyProtection="1">
      <alignment horizontal="center"/>
      <protection hidden="1"/>
    </xf>
    <xf numFmtId="0" fontId="21" fillId="0" borderId="42" xfId="0" applyFont="1" applyBorder="1" applyAlignment="1" applyProtection="1">
      <alignment horizontal="center"/>
      <protection hidden="1"/>
    </xf>
    <xf numFmtId="0" fontId="21" fillId="0" borderId="5" xfId="0" applyFont="1" applyBorder="1" applyAlignment="1" applyProtection="1">
      <alignment horizontal="center"/>
      <protection hidden="1"/>
    </xf>
    <xf numFmtId="0" fontId="21" fillId="0" borderId="43" xfId="0" applyFont="1" applyBorder="1" applyAlignment="1" applyProtection="1">
      <alignment horizontal="center"/>
      <protection hidden="1"/>
    </xf>
    <xf numFmtId="0" fontId="22" fillId="0" borderId="0" xfId="0" applyNumberFormat="1" applyFont="1" applyBorder="1" applyAlignment="1" applyProtection="1">
      <alignment horizontal="center"/>
      <protection hidden="1"/>
    </xf>
    <xf numFmtId="0" fontId="21" fillId="0" borderId="68" xfId="0" applyFont="1" applyBorder="1" applyAlignment="1" applyProtection="1">
      <alignment horizontal="center"/>
      <protection hidden="1"/>
    </xf>
    <xf numFmtId="0" fontId="21" fillId="0" borderId="72" xfId="0" applyFont="1" applyBorder="1" applyAlignment="1" applyProtection="1">
      <alignment horizontal="center"/>
      <protection hidden="1"/>
    </xf>
    <xf numFmtId="0" fontId="21" fillId="12" borderId="74" xfId="0" applyFont="1" applyFill="1" applyBorder="1" applyAlignment="1" applyProtection="1">
      <alignment horizontal="center"/>
      <protection hidden="1"/>
    </xf>
    <xf numFmtId="0" fontId="21" fillId="0" borderId="79" xfId="0" applyFont="1" applyBorder="1" applyAlignment="1" applyProtection="1">
      <alignment horizontal="center"/>
      <protection hidden="1"/>
    </xf>
    <xf numFmtId="0" fontId="21" fillId="0" borderId="76" xfId="0" applyFont="1" applyBorder="1" applyAlignment="1" applyProtection="1">
      <alignment horizontal="center"/>
      <protection hidden="1"/>
    </xf>
    <xf numFmtId="0" fontId="21" fillId="0" borderId="40" xfId="0" applyNumberFormat="1" applyFont="1" applyBorder="1" applyAlignment="1" applyProtection="1">
      <alignment horizontal="center"/>
      <protection hidden="1"/>
    </xf>
    <xf numFmtId="0" fontId="21" fillId="0" borderId="40" xfId="0" applyFont="1" applyBorder="1" applyAlignment="1" applyProtection="1">
      <alignment horizontal="center"/>
      <protection hidden="1"/>
    </xf>
    <xf numFmtId="0" fontId="21" fillId="0" borderId="45" xfId="0" applyFont="1" applyBorder="1" applyAlignment="1" applyProtection="1">
      <alignment horizontal="center"/>
      <protection hidden="1"/>
    </xf>
    <xf numFmtId="0" fontId="22" fillId="0" borderId="0" xfId="0" applyFont="1" applyBorder="1" applyAlignment="1" applyProtection="1">
      <alignment horizontal="center"/>
      <protection hidden="1"/>
    </xf>
    <xf numFmtId="0" fontId="21" fillId="0" borderId="75" xfId="0" applyFont="1" applyBorder="1" applyAlignment="1" applyProtection="1">
      <alignment horizontal="center"/>
      <protection hidden="1"/>
    </xf>
    <xf numFmtId="0" fontId="21" fillId="0" borderId="8" xfId="0" applyFont="1" applyFill="1" applyBorder="1" applyAlignment="1" applyProtection="1">
      <alignment vertical="center"/>
      <protection hidden="1"/>
    </xf>
    <xf numFmtId="0" fontId="32" fillId="10" borderId="68" xfId="1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protection hidden="1"/>
    </xf>
    <xf numFmtId="0" fontId="21" fillId="12" borderId="66" xfId="0" applyFont="1" applyFill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0" xfId="0" applyFont="1" applyFill="1" applyAlignment="1" applyProtection="1">
      <protection hidden="1"/>
    </xf>
    <xf numFmtId="0" fontId="29" fillId="5" borderId="17" xfId="0" applyFont="1" applyFill="1" applyBorder="1" applyAlignment="1" applyProtection="1">
      <alignment horizontal="center" vertical="center"/>
      <protection hidden="1"/>
    </xf>
    <xf numFmtId="0" fontId="29" fillId="5" borderId="22" xfId="0" applyFont="1" applyFill="1" applyBorder="1" applyAlignment="1" applyProtection="1">
      <alignment horizontal="center" vertical="center"/>
      <protection hidden="1"/>
    </xf>
    <xf numFmtId="0" fontId="29" fillId="9" borderId="58" xfId="0" applyFont="1" applyFill="1" applyBorder="1" applyAlignment="1" applyProtection="1">
      <alignment horizontal="center" vertical="center"/>
      <protection hidden="1"/>
    </xf>
    <xf numFmtId="0" fontId="29" fillId="5" borderId="19" xfId="0" applyFont="1" applyFill="1" applyBorder="1" applyAlignment="1" applyProtection="1">
      <alignment horizontal="center"/>
      <protection hidden="1"/>
    </xf>
    <xf numFmtId="0" fontId="25" fillId="0" borderId="0" xfId="0" applyFont="1" applyFill="1" applyBorder="1" applyAlignment="1" applyProtection="1">
      <alignment horizontal="center"/>
      <protection hidden="1"/>
    </xf>
    <xf numFmtId="0" fontId="26" fillId="0" borderId="7" xfId="0" applyFont="1" applyFill="1" applyBorder="1" applyAlignment="1" applyProtection="1">
      <alignment horizontal="left"/>
      <protection hidden="1"/>
    </xf>
    <xf numFmtId="0" fontId="21" fillId="0" borderId="0" xfId="0" applyFont="1" applyBorder="1" applyAlignment="1" applyProtection="1">
      <alignment horizontal="center" wrapText="1"/>
      <protection hidden="1"/>
    </xf>
    <xf numFmtId="0" fontId="21" fillId="0" borderId="7" xfId="0" applyFont="1" applyFill="1" applyBorder="1" applyAlignment="1" applyProtection="1">
      <alignment horizontal="left"/>
      <protection hidden="1"/>
    </xf>
    <xf numFmtId="0" fontId="21" fillId="8" borderId="7" xfId="0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protection hidden="1"/>
    </xf>
    <xf numFmtId="0" fontId="21" fillId="8" borderId="8" xfId="0" applyFont="1" applyFill="1" applyBorder="1" applyAlignment="1" applyProtection="1">
      <alignment vertical="center"/>
      <protection hidden="1"/>
    </xf>
    <xf numFmtId="0" fontId="29" fillId="0" borderId="0" xfId="0" applyFont="1" applyAlignment="1" applyProtection="1">
      <alignment horizontal="center"/>
      <protection hidden="1"/>
    </xf>
    <xf numFmtId="2" fontId="0" fillId="0" borderId="70" xfId="0" applyNumberFormat="1" applyBorder="1" applyAlignment="1" applyProtection="1">
      <protection hidden="1"/>
    </xf>
    <xf numFmtId="2" fontId="21" fillId="0" borderId="0" xfId="0" applyNumberFormat="1" applyFont="1" applyAlignment="1" applyProtection="1">
      <protection hidden="1"/>
    </xf>
    <xf numFmtId="2" fontId="21" fillId="0" borderId="22" xfId="0" applyNumberFormat="1" applyFont="1" applyBorder="1" applyAlignment="1" applyProtection="1">
      <alignment horizontal="right"/>
      <protection locked="0"/>
    </xf>
    <xf numFmtId="2" fontId="21" fillId="0" borderId="6" xfId="0" applyNumberFormat="1" applyFont="1" applyBorder="1" applyAlignment="1" applyProtection="1">
      <alignment horizontal="right"/>
      <protection locked="0"/>
    </xf>
    <xf numFmtId="0" fontId="21" fillId="0" borderId="37" xfId="0" applyNumberFormat="1" applyFont="1" applyBorder="1" applyAlignment="1" applyProtection="1">
      <alignment horizontal="right"/>
      <protection locked="0"/>
    </xf>
    <xf numFmtId="0" fontId="21" fillId="0" borderId="5" xfId="0" applyNumberFormat="1" applyFont="1" applyBorder="1" applyAlignment="1" applyProtection="1">
      <alignment horizontal="right"/>
      <protection locked="0"/>
    </xf>
    <xf numFmtId="0" fontId="21" fillId="0" borderId="23" xfId="0" applyNumberFormat="1" applyFont="1" applyBorder="1" applyAlignment="1" applyProtection="1">
      <alignment horizontal="right"/>
      <protection locked="0"/>
    </xf>
    <xf numFmtId="0" fontId="21" fillId="0" borderId="6" xfId="0" applyNumberFormat="1" applyFont="1" applyBorder="1" applyAlignment="1" applyProtection="1">
      <alignment horizontal="right"/>
      <protection locked="0"/>
    </xf>
    <xf numFmtId="0" fontId="21" fillId="0" borderId="22" xfId="0" applyNumberFormat="1" applyFont="1" applyBorder="1" applyAlignment="1" applyProtection="1">
      <alignment horizontal="right"/>
      <protection locked="0"/>
    </xf>
    <xf numFmtId="0" fontId="21" fillId="0" borderId="40" xfId="0" applyNumberFormat="1" applyFont="1" applyBorder="1" applyAlignment="1" applyProtection="1">
      <alignment horizontal="right"/>
      <protection locked="0"/>
    </xf>
    <xf numFmtId="0" fontId="21" fillId="0" borderId="68" xfId="0" applyNumberFormat="1" applyFont="1" applyBorder="1" applyAlignment="1" applyProtection="1">
      <alignment horizontal="right"/>
      <protection locked="0"/>
    </xf>
    <xf numFmtId="0" fontId="18" fillId="0" borderId="0" xfId="0" applyFont="1" applyFill="1" applyBorder="1" applyAlignment="1">
      <alignment vertical="center"/>
    </xf>
    <xf numFmtId="0" fontId="21" fillId="0" borderId="25" xfId="0" applyFont="1" applyBorder="1" applyAlignment="1" applyProtection="1">
      <protection hidden="1"/>
    </xf>
    <xf numFmtId="0" fontId="21" fillId="0" borderId="76" xfId="0" applyFont="1" applyBorder="1" applyAlignment="1" applyProtection="1">
      <protection hidden="1"/>
    </xf>
    <xf numFmtId="0" fontId="21" fillId="11" borderId="75" xfId="0" applyFont="1" applyFill="1" applyBorder="1" applyAlignment="1" applyProtection="1">
      <protection hidden="1"/>
    </xf>
    <xf numFmtId="0" fontId="21" fillId="0" borderId="80" xfId="0" applyFont="1" applyBorder="1" applyAlignment="1" applyProtection="1">
      <alignment horizontal="center"/>
      <protection hidden="1"/>
    </xf>
    <xf numFmtId="0" fontId="21" fillId="0" borderId="39" xfId="0" applyNumberFormat="1" applyFont="1" applyBorder="1" applyAlignment="1" applyProtection="1">
      <alignment horizontal="right"/>
      <protection locked="0"/>
    </xf>
    <xf numFmtId="2" fontId="21" fillId="0" borderId="48" xfId="0" applyNumberFormat="1" applyFont="1" applyBorder="1" applyAlignment="1" applyProtection="1">
      <alignment horizontal="center"/>
      <protection locked="0"/>
    </xf>
    <xf numFmtId="2" fontId="21" fillId="0" borderId="70" xfId="0" applyNumberFormat="1" applyFont="1" applyBorder="1" applyAlignment="1" applyProtection="1">
      <protection hidden="1"/>
    </xf>
    <xf numFmtId="2" fontId="21" fillId="0" borderId="76" xfId="0" applyNumberFormat="1" applyFont="1" applyFill="1" applyBorder="1" applyAlignment="1" applyProtection="1">
      <protection hidden="1"/>
    </xf>
    <xf numFmtId="0" fontId="34" fillId="9" borderId="40" xfId="0" applyFont="1" applyFill="1" applyBorder="1" applyAlignment="1" applyProtection="1">
      <alignment horizontal="center" vertical="center"/>
      <protection hidden="1"/>
    </xf>
    <xf numFmtId="0" fontId="34" fillId="9" borderId="75" xfId="0" applyFont="1" applyFill="1" applyBorder="1" applyAlignment="1" applyProtection="1">
      <alignment horizontal="center" vertical="center"/>
      <protection hidden="1"/>
    </xf>
    <xf numFmtId="2" fontId="26" fillId="0" borderId="23" xfId="0" applyNumberFormat="1" applyFont="1" applyFill="1" applyBorder="1" applyAlignment="1" applyProtection="1">
      <alignment horizontal="right"/>
      <protection hidden="1"/>
    </xf>
    <xf numFmtId="2" fontId="21" fillId="0" borderId="42" xfId="0" applyNumberFormat="1" applyFont="1" applyBorder="1" applyAlignment="1" applyProtection="1">
      <alignment horizontal="center"/>
      <protection locked="0"/>
    </xf>
    <xf numFmtId="2" fontId="21" fillId="0" borderId="56" xfId="0" applyNumberFormat="1" applyFont="1" applyBorder="1" applyAlignment="1" applyProtection="1">
      <protection hidden="1"/>
    </xf>
    <xf numFmtId="0" fontId="33" fillId="0" borderId="0" xfId="0" applyFont="1" applyBorder="1" applyAlignment="1" applyProtection="1">
      <alignment wrapText="1"/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33" fillId="0" borderId="0" xfId="0" applyFont="1" applyBorder="1" applyAlignment="1" applyProtection="1">
      <alignment horizontal="center" wrapText="1"/>
      <protection hidden="1"/>
    </xf>
    <xf numFmtId="0" fontId="9" fillId="0" borderId="0" xfId="0" applyFont="1" applyBorder="1" applyAlignment="1" applyProtection="1">
      <alignment horizontal="center" wrapText="1"/>
      <protection hidden="1"/>
    </xf>
    <xf numFmtId="0" fontId="24" fillId="0" borderId="0" xfId="0" applyFont="1" applyBorder="1" applyAlignment="1" applyProtection="1">
      <protection hidden="1"/>
    </xf>
    <xf numFmtId="0" fontId="16" fillId="0" borderId="0" xfId="0" applyFont="1" applyBorder="1" applyAlignment="1" applyProtection="1">
      <protection hidden="1"/>
    </xf>
    <xf numFmtId="0" fontId="21" fillId="0" borderId="6" xfId="0" applyFont="1" applyBorder="1" applyAlignment="1" applyProtection="1">
      <alignment horizontal="center"/>
      <protection hidden="1"/>
    </xf>
    <xf numFmtId="0" fontId="21" fillId="0" borderId="48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protection hidden="1"/>
    </xf>
    <xf numFmtId="0" fontId="21" fillId="12" borderId="46" xfId="0" applyFont="1" applyFill="1" applyBorder="1" applyAlignment="1" applyProtection="1">
      <alignment horizontal="center"/>
      <protection hidden="1"/>
    </xf>
    <xf numFmtId="0" fontId="21" fillId="0" borderId="39" xfId="0" applyFont="1" applyBorder="1" applyAlignment="1" applyProtection="1">
      <alignment horizontal="center"/>
      <protection hidden="1"/>
    </xf>
    <xf numFmtId="0" fontId="21" fillId="0" borderId="44" xfId="0" applyFont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/>
      <protection hidden="1"/>
    </xf>
    <xf numFmtId="0" fontId="29" fillId="5" borderId="74" xfId="0" applyFont="1" applyFill="1" applyBorder="1" applyAlignment="1" applyProtection="1">
      <alignment horizontal="center" vertical="center"/>
      <protection hidden="1"/>
    </xf>
    <xf numFmtId="0" fontId="29" fillId="5" borderId="40" xfId="0" applyFont="1" applyFill="1" applyBorder="1" applyAlignment="1" applyProtection="1">
      <alignment horizontal="center" vertical="center"/>
      <protection hidden="1"/>
    </xf>
    <xf numFmtId="0" fontId="29" fillId="9" borderId="45" xfId="0" applyFont="1" applyFill="1" applyBorder="1" applyAlignment="1" applyProtection="1">
      <alignment horizontal="center" vertical="center"/>
      <protection hidden="1"/>
    </xf>
    <xf numFmtId="0" fontId="29" fillId="5" borderId="75" xfId="0" applyFont="1" applyFill="1" applyBorder="1" applyAlignment="1" applyProtection="1">
      <alignment horizontal="center"/>
      <protection hidden="1"/>
    </xf>
    <xf numFmtId="0" fontId="26" fillId="0" borderId="47" xfId="0" applyFont="1" applyFill="1" applyBorder="1" applyAlignment="1" applyProtection="1">
      <alignment horizontal="left"/>
      <protection hidden="1"/>
    </xf>
    <xf numFmtId="2" fontId="25" fillId="0" borderId="0" xfId="0" applyNumberFormat="1" applyFont="1" applyAlignment="1" applyProtection="1">
      <alignment horizontal="center"/>
      <protection hidden="1"/>
    </xf>
    <xf numFmtId="0" fontId="21" fillId="12" borderId="17" xfId="0" applyFont="1" applyFill="1" applyBorder="1" applyAlignment="1">
      <alignment horizontal="center"/>
    </xf>
    <xf numFmtId="0" fontId="21" fillId="12" borderId="8" xfId="0" applyFont="1" applyFill="1" applyBorder="1" applyAlignment="1">
      <alignment horizontal="center"/>
    </xf>
    <xf numFmtId="0" fontId="21" fillId="12" borderId="47" xfId="0" applyFont="1" applyFill="1" applyBorder="1" applyAlignment="1">
      <alignment horizontal="center"/>
    </xf>
    <xf numFmtId="0" fontId="21" fillId="12" borderId="66" xfId="0" applyFont="1" applyFill="1" applyBorder="1" applyAlignment="1">
      <alignment horizontal="center"/>
    </xf>
    <xf numFmtId="0" fontId="21" fillId="12" borderId="74" xfId="0" applyFont="1" applyFill="1" applyBorder="1" applyAlignment="1">
      <alignment horizontal="center"/>
    </xf>
    <xf numFmtId="0" fontId="21" fillId="0" borderId="46" xfId="0" applyFont="1" applyFill="1" applyBorder="1" applyAlignment="1">
      <alignment horizontal="left"/>
    </xf>
    <xf numFmtId="2" fontId="21" fillId="0" borderId="39" xfId="0" applyNumberFormat="1" applyFont="1" applyBorder="1" applyAlignment="1" applyProtection="1">
      <alignment horizontal="right"/>
      <protection hidden="1"/>
    </xf>
    <xf numFmtId="0" fontId="21" fillId="0" borderId="8" xfId="0" applyFont="1" applyFill="1" applyBorder="1" applyAlignment="1">
      <alignment horizontal="left"/>
    </xf>
    <xf numFmtId="2" fontId="21" fillId="0" borderId="6" xfId="0" applyNumberFormat="1" applyFont="1" applyBorder="1" applyAlignment="1" applyProtection="1">
      <alignment horizontal="right"/>
      <protection hidden="1"/>
    </xf>
    <xf numFmtId="0" fontId="29" fillId="9" borderId="58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12" borderId="65" xfId="0" applyFont="1" applyFill="1" applyBorder="1" applyAlignment="1">
      <alignment horizontal="center"/>
    </xf>
    <xf numFmtId="0" fontId="21" fillId="0" borderId="63" xfId="0" applyNumberFormat="1" applyFont="1" applyBorder="1" applyAlignment="1" applyProtection="1">
      <alignment horizontal="right"/>
      <protection locked="0"/>
    </xf>
    <xf numFmtId="0" fontId="21" fillId="12" borderId="65" xfId="0" applyFont="1" applyFill="1" applyBorder="1" applyAlignment="1" applyProtection="1">
      <alignment horizontal="center"/>
      <protection hidden="1"/>
    </xf>
    <xf numFmtId="0" fontId="21" fillId="0" borderId="24" xfId="0" applyFont="1" applyBorder="1" applyAlignment="1" applyProtection="1">
      <alignment horizontal="center"/>
      <protection hidden="1"/>
    </xf>
    <xf numFmtId="0" fontId="21" fillId="0" borderId="77" xfId="0" applyFont="1" applyBorder="1" applyAlignment="1" applyProtection="1">
      <alignment horizontal="center"/>
      <protection hidden="1"/>
    </xf>
    <xf numFmtId="0" fontId="21" fillId="0" borderId="25" xfId="0" applyFont="1" applyBorder="1" applyAlignment="1" applyProtection="1">
      <alignment horizontal="center"/>
      <protection hidden="1"/>
    </xf>
    <xf numFmtId="0" fontId="21" fillId="12" borderId="7" xfId="0" applyFont="1" applyFill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40" xfId="0" applyFont="1" applyBorder="1" applyAlignment="1">
      <alignment horizontal="center"/>
    </xf>
    <xf numFmtId="0" fontId="21" fillId="0" borderId="68" xfId="0" applyFont="1" applyBorder="1" applyAlignment="1">
      <alignment horizontal="center"/>
    </xf>
    <xf numFmtId="2" fontId="21" fillId="0" borderId="44" xfId="0" applyNumberFormat="1" applyFont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protection hidden="1"/>
    </xf>
    <xf numFmtId="0" fontId="21" fillId="0" borderId="68" xfId="0" applyFont="1" applyBorder="1" applyAlignment="1" applyProtection="1">
      <alignment horizontal="center" vertical="center"/>
      <protection hidden="1"/>
    </xf>
    <xf numFmtId="0" fontId="21" fillId="0" borderId="46" xfId="0" applyFont="1" applyFill="1" applyBorder="1" applyAlignment="1" applyProtection="1">
      <alignment horizontal="left"/>
      <protection hidden="1"/>
    </xf>
    <xf numFmtId="0" fontId="21" fillId="0" borderId="8" xfId="0" applyFont="1" applyFill="1" applyBorder="1" applyAlignment="1" applyProtection="1">
      <alignment horizontal="left"/>
      <protection hidden="1"/>
    </xf>
    <xf numFmtId="2" fontId="29" fillId="0" borderId="70" xfId="0" applyNumberFormat="1" applyFont="1" applyBorder="1" applyAlignment="1" applyProtection="1">
      <alignment horizontal="right"/>
      <protection hidden="1"/>
    </xf>
    <xf numFmtId="0" fontId="21" fillId="12" borderId="46" xfId="0" applyFont="1" applyFill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21" fillId="0" borderId="63" xfId="0" applyNumberFormat="1" applyFont="1" applyBorder="1" applyAlignment="1">
      <alignment horizontal="center"/>
    </xf>
    <xf numFmtId="0" fontId="21" fillId="0" borderId="75" xfId="0" applyFont="1" applyBorder="1" applyAlignment="1">
      <alignment horizontal="center"/>
    </xf>
    <xf numFmtId="0" fontId="21" fillId="12" borderId="29" xfId="0" applyFont="1" applyFill="1" applyBorder="1" applyAlignment="1">
      <alignment horizontal="center"/>
    </xf>
    <xf numFmtId="0" fontId="21" fillId="12" borderId="33" xfId="0" applyFont="1" applyFill="1" applyBorder="1" applyAlignment="1">
      <alignment horizontal="center"/>
    </xf>
    <xf numFmtId="0" fontId="21" fillId="12" borderId="30" xfId="0" applyFont="1" applyFill="1" applyBorder="1" applyAlignment="1">
      <alignment horizontal="center"/>
    </xf>
    <xf numFmtId="0" fontId="21" fillId="12" borderId="28" xfId="0" applyFont="1" applyFill="1" applyBorder="1" applyAlignment="1">
      <alignment horizontal="center"/>
    </xf>
    <xf numFmtId="0" fontId="21" fillId="12" borderId="78" xfId="0" applyFont="1" applyFill="1" applyBorder="1" applyAlignment="1">
      <alignment horizontal="center"/>
    </xf>
    <xf numFmtId="0" fontId="21" fillId="12" borderId="51" xfId="0" applyFont="1" applyFill="1" applyBorder="1" applyAlignment="1">
      <alignment horizontal="center"/>
    </xf>
    <xf numFmtId="0" fontId="21" fillId="12" borderId="21" xfId="0" applyFont="1" applyFill="1" applyBorder="1" applyAlignment="1">
      <alignment horizontal="center"/>
    </xf>
    <xf numFmtId="2" fontId="21" fillId="0" borderId="12" xfId="0" applyNumberFormat="1" applyFont="1" applyBorder="1" applyAlignment="1" applyProtection="1">
      <alignment horizontal="right" vertical="center"/>
      <protection locked="0"/>
    </xf>
    <xf numFmtId="2" fontId="21" fillId="0" borderId="14" xfId="0" applyNumberFormat="1" applyFont="1" applyBorder="1" applyAlignment="1" applyProtection="1">
      <alignment horizontal="right" vertical="center"/>
      <protection locked="0"/>
    </xf>
    <xf numFmtId="0" fontId="21" fillId="0" borderId="12" xfId="0" applyNumberFormat="1" applyFont="1" applyBorder="1" applyAlignment="1" applyProtection="1">
      <alignment horizontal="right" vertical="center"/>
      <protection locked="0"/>
    </xf>
    <xf numFmtId="0" fontId="21" fillId="0" borderId="13" xfId="0" applyNumberFormat="1" applyFont="1" applyBorder="1" applyAlignment="1" applyProtection="1">
      <alignment horizontal="right" vertical="center"/>
      <protection locked="0"/>
    </xf>
    <xf numFmtId="0" fontId="21" fillId="0" borderId="50" xfId="0" applyNumberFormat="1" applyFont="1" applyBorder="1" applyAlignment="1" applyProtection="1">
      <alignment horizontal="right" vertical="center"/>
      <protection locked="0"/>
    </xf>
    <xf numFmtId="0" fontId="21" fillId="0" borderId="71" xfId="0" applyNumberFormat="1" applyFont="1" applyBorder="1" applyAlignment="1" applyProtection="1">
      <alignment horizontal="right" vertical="center"/>
      <protection locked="0"/>
    </xf>
    <xf numFmtId="0" fontId="21" fillId="0" borderId="70" xfId="0" applyNumberFormat="1" applyFont="1" applyBorder="1" applyAlignment="1" applyProtection="1">
      <alignment horizontal="right" vertical="center"/>
      <protection locked="0"/>
    </xf>
    <xf numFmtId="0" fontId="21" fillId="0" borderId="49" xfId="0" applyNumberFormat="1" applyFont="1" applyBorder="1" applyAlignment="1" applyProtection="1">
      <alignment horizontal="right" vertical="center"/>
      <protection locked="0"/>
    </xf>
    <xf numFmtId="0" fontId="21" fillId="0" borderId="14" xfId="0" applyNumberFormat="1" applyFont="1" applyBorder="1" applyAlignment="1" applyProtection="1">
      <alignment horizontal="right" vertical="center"/>
      <protection locked="0"/>
    </xf>
    <xf numFmtId="0" fontId="21" fillId="0" borderId="40" xfId="0" applyNumberFormat="1" applyFont="1" applyBorder="1" applyAlignment="1" applyProtection="1">
      <alignment horizontal="right" vertical="center"/>
      <protection locked="0"/>
    </xf>
    <xf numFmtId="0" fontId="21" fillId="0" borderId="42" xfId="0" applyNumberFormat="1" applyFont="1" applyBorder="1" applyAlignment="1" applyProtection="1">
      <alignment horizontal="right"/>
      <protection locked="0"/>
    </xf>
    <xf numFmtId="0" fontId="21" fillId="0" borderId="72" xfId="0" applyNumberFormat="1" applyFont="1" applyBorder="1" applyAlignment="1" applyProtection="1">
      <alignment horizontal="right"/>
      <protection locked="0"/>
    </xf>
    <xf numFmtId="2" fontId="21" fillId="0" borderId="5" xfId="0" applyNumberFormat="1" applyFont="1" applyBorder="1" applyAlignment="1" applyProtection="1">
      <alignment horizontal="right"/>
      <protection locked="0"/>
    </xf>
    <xf numFmtId="2" fontId="21" fillId="0" borderId="3" xfId="0" applyNumberFormat="1" applyFont="1" applyBorder="1" applyAlignment="1" applyProtection="1">
      <alignment horizontal="right"/>
      <protection hidden="1"/>
    </xf>
    <xf numFmtId="2" fontId="21" fillId="0" borderId="5" xfId="0" applyNumberFormat="1" applyFont="1" applyBorder="1" applyAlignment="1" applyProtection="1">
      <protection locked="0"/>
    </xf>
    <xf numFmtId="2" fontId="21" fillId="0" borderId="39" xfId="0" applyNumberFormat="1" applyFont="1" applyBorder="1" applyAlignment="1" applyProtection="1">
      <protection locked="0"/>
    </xf>
    <xf numFmtId="2" fontId="21" fillId="0" borderId="6" xfId="0" applyNumberFormat="1" applyFont="1" applyBorder="1" applyAlignment="1" applyProtection="1">
      <alignment wrapText="1"/>
      <protection locked="0"/>
    </xf>
    <xf numFmtId="2" fontId="21" fillId="0" borderId="4" xfId="0" applyNumberFormat="1" applyFont="1" applyBorder="1" applyAlignment="1" applyProtection="1">
      <alignment horizontal="right"/>
      <protection hidden="1"/>
    </xf>
    <xf numFmtId="0" fontId="21" fillId="0" borderId="76" xfId="0" applyFont="1" applyFill="1" applyBorder="1" applyAlignment="1" applyProtection="1">
      <alignment vertical="center" wrapText="1"/>
      <protection hidden="1"/>
    </xf>
    <xf numFmtId="0" fontId="21" fillId="0" borderId="38" xfId="0" applyFont="1" applyBorder="1" applyAlignment="1"/>
    <xf numFmtId="0" fontId="21" fillId="0" borderId="25" xfId="0" applyFont="1" applyBorder="1" applyAlignment="1"/>
    <xf numFmtId="0" fontId="22" fillId="0" borderId="25" xfId="0" applyFont="1" applyBorder="1" applyAlignment="1"/>
    <xf numFmtId="0" fontId="22" fillId="0" borderId="76" xfId="0" applyFont="1" applyBorder="1" applyAlignment="1"/>
    <xf numFmtId="0" fontId="21" fillId="0" borderId="25" xfId="0" applyFont="1" applyFill="1" applyBorder="1" applyAlignment="1" applyProtection="1">
      <alignment vertical="center" wrapText="1"/>
      <protection hidden="1"/>
    </xf>
    <xf numFmtId="0" fontId="21" fillId="11" borderId="75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/>
      <protection hidden="1"/>
    </xf>
    <xf numFmtId="0" fontId="32" fillId="0" borderId="0" xfId="1" applyFont="1" applyFill="1" applyBorder="1" applyAlignment="1" applyProtection="1">
      <alignment horizontal="center" vertical="center"/>
      <protection hidden="1"/>
    </xf>
    <xf numFmtId="0" fontId="21" fillId="0" borderId="40" xfId="0" applyFont="1" applyBorder="1" applyAlignment="1" applyProtection="1">
      <alignment horizontal="right"/>
      <protection locked="0"/>
    </xf>
    <xf numFmtId="0" fontId="21" fillId="0" borderId="23" xfId="0" applyFont="1" applyBorder="1" applyAlignment="1" applyProtection="1">
      <alignment horizontal="right"/>
      <protection locked="0"/>
    </xf>
    <xf numFmtId="0" fontId="21" fillId="0" borderId="63" xfId="0" applyFont="1" applyBorder="1" applyAlignment="1" applyProtection="1">
      <alignment horizontal="right"/>
      <protection locked="0"/>
    </xf>
    <xf numFmtId="2" fontId="21" fillId="8" borderId="3" xfId="0" applyNumberFormat="1" applyFont="1" applyFill="1" applyBorder="1" applyAlignment="1" applyProtection="1">
      <protection hidden="1"/>
    </xf>
    <xf numFmtId="2" fontId="21" fillId="8" borderId="4" xfId="0" applyNumberFormat="1" applyFont="1" applyFill="1" applyBorder="1" applyAlignment="1" applyProtection="1">
      <protection hidden="1"/>
    </xf>
    <xf numFmtId="0" fontId="21" fillId="0" borderId="17" xfId="0" applyFont="1" applyFill="1" applyBorder="1" applyAlignment="1" applyProtection="1">
      <alignment vertical="center"/>
      <protection hidden="1"/>
    </xf>
    <xf numFmtId="0" fontId="32" fillId="10" borderId="22" xfId="1" applyFont="1" applyBorder="1" applyAlignment="1" applyProtection="1">
      <alignment horizontal="center" vertical="center"/>
      <protection hidden="1"/>
    </xf>
    <xf numFmtId="2" fontId="21" fillId="0" borderId="22" xfId="0" applyNumberFormat="1" applyFont="1" applyFill="1" applyBorder="1" applyAlignment="1" applyProtection="1">
      <alignment horizontal="center"/>
      <protection locked="0"/>
    </xf>
    <xf numFmtId="2" fontId="21" fillId="0" borderId="19" xfId="0" applyNumberFormat="1" applyFont="1" applyFill="1" applyBorder="1" applyAlignment="1" applyProtection="1">
      <protection hidden="1"/>
    </xf>
    <xf numFmtId="0" fontId="0" fillId="0" borderId="22" xfId="0" applyNumberFormat="1" applyBorder="1" applyAlignment="1" applyProtection="1">
      <alignment horizontal="right"/>
      <protection locked="0"/>
    </xf>
    <xf numFmtId="0" fontId="0" fillId="0" borderId="6" xfId="0" applyNumberFormat="1" applyBorder="1" applyAlignment="1" applyProtection="1">
      <alignment horizontal="right"/>
      <protection locked="0"/>
    </xf>
    <xf numFmtId="0" fontId="0" fillId="0" borderId="40" xfId="0" applyBorder="1" applyAlignment="1" applyProtection="1">
      <alignment horizontal="right"/>
      <protection locked="0"/>
    </xf>
    <xf numFmtId="0" fontId="0" fillId="0" borderId="23" xfId="0" applyNumberFormat="1" applyBorder="1" applyAlignment="1" applyProtection="1">
      <alignment horizontal="right"/>
      <protection locked="0"/>
    </xf>
    <xf numFmtId="0" fontId="0" fillId="0" borderId="37" xfId="0" applyNumberFormat="1" applyBorder="1" applyAlignment="1" applyProtection="1">
      <alignment horizontal="right"/>
      <protection locked="0"/>
    </xf>
    <xf numFmtId="0" fontId="0" fillId="0" borderId="40" xfId="0" applyNumberFormat="1" applyBorder="1" applyAlignment="1" applyProtection="1">
      <alignment horizontal="right"/>
      <protection locked="0"/>
    </xf>
    <xf numFmtId="0" fontId="0" fillId="0" borderId="5" xfId="0" applyNumberFormat="1" applyBorder="1" applyAlignment="1" applyProtection="1">
      <alignment horizontal="right"/>
      <protection locked="0"/>
    </xf>
    <xf numFmtId="0" fontId="0" fillId="0" borderId="68" xfId="0" applyBorder="1" applyAlignment="1" applyProtection="1">
      <alignment horizontal="right"/>
      <protection locked="0"/>
    </xf>
    <xf numFmtId="0" fontId="0" fillId="0" borderId="22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68" xfId="0" applyNumberFormat="1" applyBorder="1" applyAlignment="1" applyProtection="1">
      <alignment horizontal="right"/>
      <protection locked="0"/>
    </xf>
    <xf numFmtId="0" fontId="21" fillId="0" borderId="22" xfId="0" applyFont="1" applyBorder="1" applyAlignment="1" applyProtection="1">
      <alignment horizontal="right"/>
      <protection locked="0"/>
    </xf>
    <xf numFmtId="0" fontId="21" fillId="0" borderId="5" xfId="0" applyFont="1" applyBorder="1" applyAlignment="1" applyProtection="1">
      <alignment horizontal="right"/>
      <protection locked="0"/>
    </xf>
    <xf numFmtId="0" fontId="21" fillId="0" borderId="68" xfId="0" applyFont="1" applyBorder="1" applyAlignment="1" applyProtection="1">
      <alignment horizontal="right"/>
      <protection locked="0"/>
    </xf>
    <xf numFmtId="2" fontId="21" fillId="0" borderId="43" xfId="0" applyNumberFormat="1" applyFont="1" applyBorder="1" applyAlignment="1" applyProtection="1">
      <protection locked="0"/>
    </xf>
    <xf numFmtId="2" fontId="21" fillId="0" borderId="6" xfId="0" applyNumberFormat="1" applyFont="1" applyBorder="1" applyAlignment="1" applyProtection="1">
      <protection locked="0"/>
    </xf>
    <xf numFmtId="2" fontId="21" fillId="0" borderId="22" xfId="0" applyNumberFormat="1" applyFont="1" applyBorder="1" applyAlignment="1" applyProtection="1">
      <alignment horizontal="right" vertical="center"/>
      <protection locked="0"/>
    </xf>
    <xf numFmtId="2" fontId="21" fillId="0" borderId="22" xfId="0" applyNumberFormat="1" applyFont="1" applyBorder="1" applyAlignment="1" applyProtection="1">
      <protection locked="0"/>
    </xf>
    <xf numFmtId="0" fontId="21" fillId="0" borderId="40" xfId="0" applyNumberFormat="1" applyFont="1" applyBorder="1" applyAlignment="1" applyProtection="1">
      <protection locked="0"/>
    </xf>
    <xf numFmtId="0" fontId="21" fillId="0" borderId="40" xfId="0" applyFont="1" applyBorder="1" applyAlignment="1" applyProtection="1">
      <protection locked="0"/>
    </xf>
    <xf numFmtId="0" fontId="21" fillId="0" borderId="23" xfId="0" applyFont="1" applyBorder="1" applyAlignment="1" applyProtection="1">
      <protection locked="0"/>
    </xf>
    <xf numFmtId="0" fontId="21" fillId="0" borderId="68" xfId="0" applyFont="1" applyBorder="1" applyAlignment="1" applyProtection="1">
      <protection locked="0"/>
    </xf>
    <xf numFmtId="0" fontId="21" fillId="0" borderId="22" xfId="0" applyNumberFormat="1" applyFont="1" applyBorder="1" applyAlignment="1" applyProtection="1">
      <protection locked="0"/>
    </xf>
    <xf numFmtId="0" fontId="21" fillId="0" borderId="6" xfId="0" applyNumberFormat="1" applyFont="1" applyBorder="1" applyAlignment="1" applyProtection="1">
      <protection locked="0"/>
    </xf>
    <xf numFmtId="2" fontId="21" fillId="0" borderId="22" xfId="0" applyNumberFormat="1" applyFont="1" applyBorder="1" applyAlignment="1" applyProtection="1">
      <alignment horizontal="right"/>
      <protection hidden="1"/>
    </xf>
    <xf numFmtId="2" fontId="21" fillId="0" borderId="19" xfId="0" applyNumberFormat="1" applyFont="1" applyBorder="1" applyAlignment="1" applyProtection="1">
      <protection hidden="1"/>
    </xf>
    <xf numFmtId="0" fontId="21" fillId="0" borderId="68" xfId="0" applyNumberFormat="1" applyFont="1" applyBorder="1" applyAlignment="1" applyProtection="1">
      <protection locked="0"/>
    </xf>
    <xf numFmtId="0" fontId="21" fillId="0" borderId="5" xfId="0" applyNumberFormat="1" applyFont="1" applyBorder="1" applyAlignment="1" applyProtection="1">
      <protection locked="0"/>
    </xf>
    <xf numFmtId="0" fontId="21" fillId="0" borderId="23" xfId="0" applyNumberFormat="1" applyFont="1" applyBorder="1" applyAlignment="1" applyProtection="1">
      <protection locked="0"/>
    </xf>
    <xf numFmtId="0" fontId="21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2" fontId="21" fillId="0" borderId="22" xfId="0" applyNumberFormat="1" applyFont="1" applyBorder="1" applyAlignment="1" applyProtection="1">
      <alignment vertical="center"/>
      <protection locked="0"/>
    </xf>
    <xf numFmtId="0" fontId="21" fillId="0" borderId="58" xfId="0" applyNumberFormat="1" applyFont="1" applyBorder="1" applyAlignment="1" applyProtection="1">
      <alignment horizontal="right"/>
      <protection locked="0"/>
    </xf>
    <xf numFmtId="2" fontId="0" fillId="0" borderId="22" xfId="0" applyNumberFormat="1" applyBorder="1" applyAlignment="1" applyProtection="1">
      <alignment horizontal="right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21" fillId="0" borderId="23" xfId="0" applyNumberFormat="1" applyFont="1" applyFill="1" applyBorder="1" applyAlignment="1" applyProtection="1">
      <alignment horizontal="right"/>
      <protection locked="0"/>
    </xf>
    <xf numFmtId="0" fontId="21" fillId="0" borderId="43" xfId="0" applyFont="1" applyFill="1" applyBorder="1" applyAlignment="1" applyProtection="1">
      <alignment horizontal="right"/>
      <protection locked="0"/>
    </xf>
    <xf numFmtId="2" fontId="21" fillId="0" borderId="43" xfId="0" applyNumberFormat="1" applyFont="1" applyFill="1" applyBorder="1" applyAlignment="1" applyProtection="1">
      <alignment horizontal="right"/>
      <protection locked="0"/>
    </xf>
    <xf numFmtId="2" fontId="21" fillId="0" borderId="43" xfId="0" applyNumberFormat="1" applyFont="1" applyFill="1" applyBorder="1" applyAlignment="1" applyProtection="1">
      <alignment horizontal="right" wrapText="1"/>
      <protection locked="0"/>
    </xf>
    <xf numFmtId="2" fontId="21" fillId="0" borderId="42" xfId="0" applyNumberFormat="1" applyFont="1" applyFill="1" applyBorder="1" applyAlignment="1" applyProtection="1">
      <alignment horizontal="right"/>
      <protection locked="0"/>
    </xf>
    <xf numFmtId="2" fontId="21" fillId="0" borderId="48" xfId="0" applyNumberFormat="1" applyFont="1" applyFill="1" applyBorder="1" applyAlignment="1" applyProtection="1">
      <alignment horizontal="right"/>
      <protection locked="0"/>
    </xf>
    <xf numFmtId="2" fontId="21" fillId="0" borderId="23" xfId="0" applyNumberFormat="1" applyFont="1" applyBorder="1" applyAlignment="1" applyProtection="1">
      <alignment horizontal="right"/>
      <protection locked="0"/>
    </xf>
    <xf numFmtId="0" fontId="21" fillId="0" borderId="43" xfId="0" applyNumberFormat="1" applyFont="1" applyBorder="1" applyAlignment="1" applyProtection="1">
      <alignment horizontal="right"/>
      <protection locked="0"/>
    </xf>
    <xf numFmtId="2" fontId="0" fillId="0" borderId="63" xfId="0" applyNumberFormat="1" applyBorder="1" applyAlignment="1" applyProtection="1">
      <alignment horizontal="right"/>
      <protection locked="0"/>
    </xf>
    <xf numFmtId="2" fontId="21" fillId="0" borderId="63" xfId="0" applyNumberFormat="1" applyFont="1" applyBorder="1" applyAlignment="1" applyProtection="1">
      <alignment horizontal="right"/>
      <protection locked="0"/>
    </xf>
    <xf numFmtId="0" fontId="21" fillId="0" borderId="63" xfId="0" applyNumberFormat="1" applyFont="1" applyBorder="1" applyAlignment="1" applyProtection="1">
      <alignment horizontal="right" vertical="center"/>
      <protection locked="0"/>
    </xf>
    <xf numFmtId="0" fontId="22" fillId="0" borderId="3" xfId="0" applyFont="1" applyBorder="1" applyAlignment="1" applyProtection="1">
      <alignment horizontal="center"/>
      <protection hidden="1"/>
    </xf>
    <xf numFmtId="0" fontId="31" fillId="9" borderId="40" xfId="0" applyFont="1" applyFill="1" applyBorder="1" applyAlignment="1" applyProtection="1">
      <alignment horizontal="center" vertical="center"/>
      <protection hidden="1"/>
    </xf>
    <xf numFmtId="0" fontId="30" fillId="10" borderId="23" xfId="1" applyFont="1" applyBorder="1" applyAlignment="1" applyProtection="1">
      <alignment horizontal="left"/>
      <protection hidden="1"/>
    </xf>
    <xf numFmtId="0" fontId="30" fillId="10" borderId="5" xfId="1" applyFont="1" applyBorder="1" applyAlignment="1" applyProtection="1">
      <alignment horizontal="left"/>
      <protection hidden="1"/>
    </xf>
    <xf numFmtId="0" fontId="21" fillId="0" borderId="19" xfId="0" applyFont="1" applyBorder="1" applyAlignment="1" applyProtection="1">
      <alignment horizontal="center"/>
      <protection hidden="1"/>
    </xf>
    <xf numFmtId="0" fontId="21" fillId="0" borderId="63" xfId="0" applyFont="1" applyBorder="1" applyAlignment="1" applyProtection="1">
      <alignment horizontal="center"/>
      <protection hidden="1"/>
    </xf>
    <xf numFmtId="0" fontId="21" fillId="0" borderId="52" xfId="0" applyFont="1" applyBorder="1" applyAlignment="1" applyProtection="1">
      <alignment horizontal="center"/>
      <protection hidden="1"/>
    </xf>
    <xf numFmtId="0" fontId="21" fillId="0" borderId="23" xfId="0" applyNumberFormat="1" applyFont="1" applyBorder="1" applyAlignment="1" applyProtection="1">
      <alignment horizontal="center"/>
      <protection hidden="1"/>
    </xf>
    <xf numFmtId="0" fontId="21" fillId="0" borderId="20" xfId="0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29" fillId="9" borderId="22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1" fillId="0" borderId="0" xfId="0" applyFont="1" applyFill="1" applyBorder="1" applyAlignment="1" applyProtection="1">
      <alignment horizontal="center" wrapText="1"/>
      <protection hidden="1"/>
    </xf>
    <xf numFmtId="0" fontId="30" fillId="10" borderId="6" xfId="1" applyFont="1" applyBorder="1" applyAlignment="1" applyProtection="1">
      <alignment horizontal="left"/>
      <protection hidden="1"/>
    </xf>
    <xf numFmtId="0" fontId="21" fillId="0" borderId="46" xfId="0" applyFont="1" applyBorder="1" applyAlignment="1" applyProtection="1">
      <protection hidden="1"/>
    </xf>
    <xf numFmtId="0" fontId="21" fillId="12" borderId="51" xfId="0" applyFont="1" applyFill="1" applyBorder="1" applyAlignment="1" applyProtection="1">
      <alignment horizontal="center"/>
      <protection hidden="1"/>
    </xf>
    <xf numFmtId="0" fontId="21" fillId="0" borderId="4" xfId="0" applyFont="1" applyBorder="1" applyAlignment="1" applyProtection="1">
      <protection hidden="1"/>
    </xf>
    <xf numFmtId="2" fontId="21" fillId="0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protection hidden="1"/>
    </xf>
    <xf numFmtId="2" fontId="29" fillId="0" borderId="70" xfId="0" applyNumberFormat="1" applyFont="1" applyBorder="1" applyAlignment="1" applyProtection="1">
      <alignment horizontal="right" vertical="center"/>
      <protection hidden="1"/>
    </xf>
    <xf numFmtId="0" fontId="25" fillId="0" borderId="0" xfId="0" applyFont="1" applyBorder="1" applyAlignment="1" applyProtection="1">
      <alignment vertical="center" textRotation="90"/>
      <protection hidden="1"/>
    </xf>
    <xf numFmtId="0" fontId="17" fillId="0" borderId="0" xfId="0" applyFont="1" applyBorder="1" applyAlignment="1" applyProtection="1">
      <alignment vertical="center" textRotation="90"/>
      <protection hidden="1"/>
    </xf>
    <xf numFmtId="0" fontId="21" fillId="0" borderId="3" xfId="0" applyFont="1" applyBorder="1" applyAlignment="1" applyProtection="1">
      <alignment horizontal="center"/>
      <protection hidden="1"/>
    </xf>
    <xf numFmtId="0" fontId="21" fillId="0" borderId="75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 applyProtection="1">
      <protection hidden="1"/>
    </xf>
    <xf numFmtId="0" fontId="28" fillId="0" borderId="0" xfId="0" applyFont="1" applyBorder="1" applyAlignment="1" applyProtection="1">
      <alignment vertical="center" textRotation="90"/>
      <protection hidden="1"/>
    </xf>
    <xf numFmtId="0" fontId="22" fillId="0" borderId="0" xfId="0" applyFont="1" applyBorder="1" applyAlignment="1" applyProtection="1">
      <alignment vertical="center" textRotation="90"/>
      <protection hidden="1"/>
    </xf>
    <xf numFmtId="0" fontId="25" fillId="0" borderId="0" xfId="0" applyFont="1" applyFill="1" applyBorder="1" applyAlignment="1" applyProtection="1">
      <alignment vertical="center" textRotation="90"/>
      <protection hidden="1"/>
    </xf>
    <xf numFmtId="0" fontId="28" fillId="0" borderId="0" xfId="0" applyFont="1" applyFill="1" applyBorder="1" applyAlignment="1" applyProtection="1">
      <alignment vertical="center" textRotation="90"/>
      <protection hidden="1"/>
    </xf>
    <xf numFmtId="0" fontId="22" fillId="0" borderId="0" xfId="0" applyFont="1" applyFill="1" applyBorder="1" applyAlignment="1" applyProtection="1">
      <alignment vertical="center" textRotation="90"/>
      <protection hidden="1"/>
    </xf>
    <xf numFmtId="0" fontId="0" fillId="12" borderId="17" xfId="0" applyFill="1" applyBorder="1" applyAlignment="1" applyProtection="1">
      <alignment horizontal="center"/>
      <protection hidden="1"/>
    </xf>
    <xf numFmtId="0" fontId="0" fillId="12" borderId="7" xfId="0" applyFill="1" applyBorder="1" applyAlignment="1" applyProtection="1">
      <alignment horizontal="center"/>
      <protection hidden="1"/>
    </xf>
    <xf numFmtId="0" fontId="0" fillId="12" borderId="66" xfId="0" applyFill="1" applyBorder="1" applyAlignment="1" applyProtection="1">
      <alignment horizontal="center"/>
      <protection hidden="1"/>
    </xf>
    <xf numFmtId="0" fontId="0" fillId="12" borderId="47" xfId="0" applyFill="1" applyBorder="1" applyAlignment="1" applyProtection="1">
      <alignment horizontal="center"/>
      <protection hidden="1"/>
    </xf>
    <xf numFmtId="0" fontId="0" fillId="0" borderId="23" xfId="0" applyFont="1" applyBorder="1" applyAlignment="1" applyProtection="1">
      <alignment horizontal="center"/>
      <protection hidden="1"/>
    </xf>
    <xf numFmtId="0" fontId="0" fillId="0" borderId="56" xfId="0" applyFont="1" applyBorder="1" applyAlignment="1" applyProtection="1">
      <alignment horizontal="center"/>
      <protection hidden="1"/>
    </xf>
    <xf numFmtId="0" fontId="0" fillId="0" borderId="5" xfId="0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center"/>
      <protection hidden="1"/>
    </xf>
    <xf numFmtId="0" fontId="0" fillId="12" borderId="36" xfId="0" applyFill="1" applyBorder="1" applyAlignment="1" applyProtection="1">
      <alignment horizontal="center"/>
      <protection hidden="1"/>
    </xf>
    <xf numFmtId="0" fontId="0" fillId="0" borderId="37" xfId="0" applyNumberFormat="1" applyFont="1" applyBorder="1" applyAlignment="1" applyProtection="1">
      <alignment horizontal="center"/>
      <protection hidden="1"/>
    </xf>
    <xf numFmtId="0" fontId="0" fillId="0" borderId="38" xfId="0" applyFont="1" applyBorder="1" applyAlignment="1" applyProtection="1">
      <alignment horizontal="center"/>
      <protection hidden="1"/>
    </xf>
    <xf numFmtId="0" fontId="0" fillId="12" borderId="74" xfId="0" applyFill="1" applyBorder="1" applyAlignment="1" applyProtection="1">
      <alignment horizontal="center"/>
      <protection hidden="1"/>
    </xf>
    <xf numFmtId="0" fontId="0" fillId="0" borderId="40" xfId="0" applyFont="1" applyBorder="1" applyAlignment="1" applyProtection="1">
      <alignment horizontal="center"/>
      <protection hidden="1"/>
    </xf>
    <xf numFmtId="0" fontId="0" fillId="0" borderId="75" xfId="0" applyFont="1" applyBorder="1" applyAlignment="1" applyProtection="1">
      <alignment horizontal="center"/>
      <protection hidden="1"/>
    </xf>
    <xf numFmtId="0" fontId="0" fillId="0" borderId="22" xfId="0" applyFont="1" applyBorder="1" applyAlignment="1" applyProtection="1">
      <alignment horizontal="center"/>
      <protection hidden="1"/>
    </xf>
    <xf numFmtId="0" fontId="0" fillId="0" borderId="19" xfId="0" applyFont="1" applyBorder="1" applyAlignment="1" applyProtection="1">
      <alignment horizontal="center"/>
      <protection hidden="1"/>
    </xf>
    <xf numFmtId="0" fontId="0" fillId="0" borderId="68" xfId="0" applyFont="1" applyBorder="1" applyAlignment="1" applyProtection="1">
      <alignment horizontal="center"/>
      <protection hidden="1"/>
    </xf>
    <xf numFmtId="0" fontId="0" fillId="0" borderId="76" xfId="0" applyFont="1" applyBorder="1" applyAlignment="1" applyProtection="1">
      <alignment horizontal="center"/>
      <protection hidden="1"/>
    </xf>
    <xf numFmtId="0" fontId="0" fillId="12" borderId="28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36" fillId="5" borderId="74" xfId="0" applyFont="1" applyFill="1" applyBorder="1" applyAlignment="1" applyProtection="1">
      <alignment horizontal="center" vertical="center"/>
      <protection hidden="1"/>
    </xf>
    <xf numFmtId="0" fontId="36" fillId="5" borderId="40" xfId="0" applyFont="1" applyFill="1" applyBorder="1" applyAlignment="1" applyProtection="1">
      <alignment horizontal="center" vertical="center"/>
      <protection hidden="1"/>
    </xf>
    <xf numFmtId="0" fontId="36" fillId="9" borderId="45" xfId="0" applyFont="1" applyFill="1" applyBorder="1" applyAlignment="1" applyProtection="1">
      <alignment horizontal="center" vertical="center"/>
      <protection hidden="1"/>
    </xf>
    <xf numFmtId="0" fontId="36" fillId="5" borderId="38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6" fillId="0" borderId="17" xfId="0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6" fillId="0" borderId="7" xfId="0" applyFont="1" applyFill="1" applyBorder="1" applyAlignment="1" applyProtection="1">
      <alignment horizontal="left"/>
      <protection hidden="1"/>
    </xf>
    <xf numFmtId="0" fontId="0" fillId="0" borderId="7" xfId="0" applyFill="1" applyBorder="1" applyAlignment="1" applyProtection="1">
      <alignment horizontal="left"/>
      <protection hidden="1"/>
    </xf>
    <xf numFmtId="0" fontId="19" fillId="0" borderId="0" xfId="0" applyFont="1" applyBorder="1" applyAlignment="1" applyProtection="1">
      <alignment vertical="center" textRotation="90"/>
      <protection hidden="1"/>
    </xf>
    <xf numFmtId="0" fontId="0" fillId="8" borderId="7" xfId="0" applyFill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 textRotation="90"/>
      <protection hidden="1"/>
    </xf>
    <xf numFmtId="0" fontId="0" fillId="8" borderId="7" xfId="0" applyFont="1" applyFill="1" applyBorder="1" applyAlignment="1" applyProtection="1">
      <alignment vertical="center"/>
      <protection hidden="1"/>
    </xf>
    <xf numFmtId="0" fontId="0" fillId="8" borderId="8" xfId="0" applyFill="1" applyBorder="1" applyAlignment="1" applyProtection="1">
      <alignment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2" fontId="36" fillId="0" borderId="70" xfId="0" applyNumberFormat="1" applyFont="1" applyBorder="1" applyAlignment="1" applyProtection="1">
      <alignment horizontal="right"/>
      <protection hidden="1"/>
    </xf>
    <xf numFmtId="0" fontId="37" fillId="9" borderId="40" xfId="0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1" fillId="0" borderId="56" xfId="0" applyFont="1" applyBorder="1" applyAlignment="1" applyProtection="1">
      <alignment horizontal="center"/>
      <protection hidden="1"/>
    </xf>
    <xf numFmtId="0" fontId="21" fillId="12" borderId="28" xfId="0" applyFont="1" applyFill="1" applyBorder="1" applyAlignment="1" applyProtection="1">
      <alignment horizontal="center"/>
      <protection hidden="1"/>
    </xf>
    <xf numFmtId="0" fontId="29" fillId="5" borderId="36" xfId="0" applyFont="1" applyFill="1" applyBorder="1" applyAlignment="1" applyProtection="1">
      <alignment horizontal="center" vertical="center"/>
      <protection hidden="1"/>
    </xf>
    <xf numFmtId="0" fontId="29" fillId="5" borderId="37" xfId="0" applyFont="1" applyFill="1" applyBorder="1" applyAlignment="1" applyProtection="1">
      <alignment horizontal="center" vertical="center"/>
      <protection hidden="1"/>
    </xf>
    <xf numFmtId="0" fontId="29" fillId="9" borderId="61" xfId="0" applyFont="1" applyFill="1" applyBorder="1" applyAlignment="1" applyProtection="1">
      <alignment horizontal="center" vertical="center"/>
      <protection hidden="1"/>
    </xf>
    <xf numFmtId="0" fontId="29" fillId="5" borderId="38" xfId="0" applyFont="1" applyFill="1" applyBorder="1" applyAlignment="1" applyProtection="1">
      <alignment horizontal="center"/>
      <protection hidden="1"/>
    </xf>
    <xf numFmtId="0" fontId="21" fillId="0" borderId="17" xfId="0" applyFont="1" applyFill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37" xfId="0" applyNumberFormat="1" applyFont="1" applyBorder="1" applyAlignment="1" applyProtection="1">
      <alignment horizontal="center"/>
      <protection hidden="1"/>
    </xf>
    <xf numFmtId="0" fontId="27" fillId="0" borderId="0" xfId="0" applyFont="1" applyBorder="1" applyAlignment="1" applyProtection="1">
      <alignment vertical="center" textRotation="90"/>
      <protection hidden="1"/>
    </xf>
    <xf numFmtId="0" fontId="0" fillId="12" borderId="65" xfId="0" applyFill="1" applyBorder="1" applyAlignment="1" applyProtection="1">
      <alignment horizontal="center"/>
      <protection hidden="1"/>
    </xf>
    <xf numFmtId="0" fontId="0" fillId="12" borderId="8" xfId="0" applyFill="1" applyBorder="1" applyAlignment="1" applyProtection="1">
      <alignment horizontal="center"/>
      <protection hidden="1"/>
    </xf>
    <xf numFmtId="0" fontId="0" fillId="0" borderId="58" xfId="0" applyFont="1" applyBorder="1" applyAlignment="1" applyProtection="1">
      <alignment horizontal="center"/>
      <protection hidden="1"/>
    </xf>
    <xf numFmtId="0" fontId="0" fillId="0" borderId="43" xfId="0" applyFont="1" applyBorder="1" applyAlignment="1" applyProtection="1">
      <alignment horizontal="center"/>
      <protection hidden="1"/>
    </xf>
    <xf numFmtId="0" fontId="0" fillId="0" borderId="42" xfId="0" applyFont="1" applyBorder="1" applyAlignment="1" applyProtection="1">
      <alignment horizontal="center"/>
      <protection hidden="1"/>
    </xf>
    <xf numFmtId="0" fontId="0" fillId="0" borderId="72" xfId="0" applyFont="1" applyBorder="1" applyAlignment="1" applyProtection="1">
      <alignment horizontal="center"/>
      <protection hidden="1"/>
    </xf>
    <xf numFmtId="0" fontId="36" fillId="5" borderId="17" xfId="0" applyFont="1" applyFill="1" applyBorder="1" applyAlignment="1" applyProtection="1">
      <alignment horizontal="center" vertical="center"/>
      <protection hidden="1"/>
    </xf>
    <xf numFmtId="0" fontId="36" fillId="5" borderId="22" xfId="0" applyFont="1" applyFill="1" applyBorder="1" applyAlignment="1" applyProtection="1">
      <alignment horizontal="center" vertical="center"/>
      <protection hidden="1"/>
    </xf>
    <xf numFmtId="0" fontId="36" fillId="9" borderId="22" xfId="0" applyFont="1" applyFill="1" applyBorder="1" applyAlignment="1" applyProtection="1">
      <alignment horizontal="center" vertical="center"/>
      <protection hidden="1"/>
    </xf>
    <xf numFmtId="0" fontId="36" fillId="5" borderId="19" xfId="0" applyFont="1" applyFill="1" applyBorder="1" applyAlignment="1" applyProtection="1">
      <alignment horizontal="center"/>
      <protection hidden="1"/>
    </xf>
    <xf numFmtId="2" fontId="6" fillId="0" borderId="5" xfId="0" applyNumberFormat="1" applyFont="1" applyFill="1" applyBorder="1" applyAlignment="1" applyProtection="1">
      <protection hidden="1"/>
    </xf>
    <xf numFmtId="0" fontId="0" fillId="0" borderId="46" xfId="0" applyBorder="1" applyAlignment="1" applyProtection="1"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76" xfId="0" applyFont="1" applyBorder="1" applyAlignment="1" applyProtection="1">
      <alignment horizontal="center"/>
      <protection hidden="1"/>
    </xf>
    <xf numFmtId="0" fontId="21" fillId="0" borderId="45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38" xfId="0" applyFont="1" applyBorder="1" applyAlignment="1" applyProtection="1">
      <alignment horizontal="center"/>
      <protection hidden="1"/>
    </xf>
    <xf numFmtId="0" fontId="21" fillId="0" borderId="76" xfId="0" applyFont="1" applyBorder="1" applyAlignment="1" applyProtection="1">
      <alignment horizontal="center"/>
      <protection hidden="1"/>
    </xf>
    <xf numFmtId="0" fontId="21" fillId="0" borderId="45" xfId="0" applyFont="1" applyBorder="1" applyAlignment="1" applyProtection="1">
      <alignment horizontal="center"/>
      <protection hidden="1"/>
    </xf>
    <xf numFmtId="2" fontId="21" fillId="0" borderId="44" xfId="0" applyNumberFormat="1" applyFont="1" applyBorder="1" applyAlignment="1" applyProtection="1">
      <alignment horizontal="center" wrapText="1"/>
      <protection locked="0"/>
    </xf>
    <xf numFmtId="0" fontId="21" fillId="8" borderId="66" xfId="0" applyFont="1" applyFill="1" applyBorder="1" applyAlignment="1" applyProtection="1">
      <alignment vertical="center"/>
      <protection hidden="1"/>
    </xf>
    <xf numFmtId="0" fontId="21" fillId="0" borderId="18" xfId="0" applyFont="1" applyBorder="1" applyAlignment="1" applyProtection="1">
      <alignment horizontal="center"/>
      <protection hidden="1"/>
    </xf>
    <xf numFmtId="0" fontId="21" fillId="12" borderId="12" xfId="0" applyFont="1" applyFill="1" applyBorder="1" applyAlignment="1" applyProtection="1">
      <alignment horizontal="center"/>
      <protection hidden="1"/>
    </xf>
    <xf numFmtId="0" fontId="21" fillId="12" borderId="14" xfId="0" applyFont="1" applyFill="1" applyBorder="1" applyAlignment="1" applyProtection="1">
      <alignment horizontal="center"/>
      <protection hidden="1"/>
    </xf>
    <xf numFmtId="0" fontId="21" fillId="0" borderId="35" xfId="0" applyNumberFormat="1" applyFont="1" applyBorder="1" applyAlignment="1" applyProtection="1">
      <alignment horizontal="right"/>
      <protection locked="0"/>
    </xf>
    <xf numFmtId="0" fontId="21" fillId="0" borderId="59" xfId="0" applyNumberFormat="1" applyFont="1" applyBorder="1" applyAlignment="1" applyProtection="1">
      <alignment horizontal="right"/>
      <protection locked="0"/>
    </xf>
    <xf numFmtId="0" fontId="30" fillId="0" borderId="0" xfId="1" applyFont="1" applyFill="1" applyBorder="1" applyAlignment="1" applyProtection="1">
      <alignment horizontal="left"/>
      <protection hidden="1"/>
    </xf>
    <xf numFmtId="0" fontId="21" fillId="12" borderId="29" xfId="0" applyFont="1" applyFill="1" applyBorder="1" applyAlignment="1" applyProtection="1">
      <alignment horizontal="center"/>
      <protection hidden="1"/>
    </xf>
    <xf numFmtId="0" fontId="21" fillId="12" borderId="33" xfId="0" applyFont="1" applyFill="1" applyBorder="1" applyAlignment="1" applyProtection="1">
      <alignment horizontal="center"/>
      <protection hidden="1"/>
    </xf>
    <xf numFmtId="0" fontId="0" fillId="0" borderId="5" xfId="0" applyBorder="1" applyAlignment="1"/>
    <xf numFmtId="0" fontId="0" fillId="3" borderId="18" xfId="0" applyFill="1" applyBorder="1" applyAlignment="1"/>
    <xf numFmtId="0" fontId="0" fillId="0" borderId="0" xfId="0" applyAlignment="1">
      <alignment horizontal="center"/>
    </xf>
    <xf numFmtId="2" fontId="0" fillId="0" borderId="19" xfId="0" applyNumberFormat="1" applyBorder="1" applyAlignment="1" applyProtection="1">
      <alignment horizontal="right"/>
      <protection locked="0"/>
    </xf>
    <xf numFmtId="2" fontId="0" fillId="0" borderId="3" xfId="0" applyNumberForma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3" borderId="19" xfId="0" applyFill="1" applyBorder="1" applyAlignment="1">
      <alignment horizontal="center" vertical="center"/>
    </xf>
    <xf numFmtId="0" fontId="7" fillId="13" borderId="7" xfId="0" applyFont="1" applyFill="1" applyBorder="1" applyAlignment="1">
      <alignment horizontal="left"/>
    </xf>
    <xf numFmtId="0" fontId="7" fillId="3" borderId="5" xfId="0" applyNumberFormat="1" applyFont="1" applyFill="1" applyBorder="1" applyAlignment="1" applyProtection="1">
      <alignment horizontal="left"/>
      <protection locked="0"/>
    </xf>
    <xf numFmtId="0" fontId="7" fillId="13" borderId="7" xfId="0" applyFont="1" applyFill="1" applyBorder="1">
      <alignment horizontal="left"/>
    </xf>
    <xf numFmtId="0" fontId="7" fillId="3" borderId="5" xfId="0" applyNumberFormat="1" applyFont="1" applyFill="1" applyBorder="1" applyProtection="1">
      <alignment horizontal="left"/>
      <protection locked="0"/>
    </xf>
    <xf numFmtId="2" fontId="0" fillId="3" borderId="5" xfId="0" applyNumberFormat="1" applyFill="1" applyBorder="1" applyAlignment="1"/>
    <xf numFmtId="167" fontId="0" fillId="3" borderId="5" xfId="0" applyNumberFormat="1" applyFill="1" applyBorder="1" applyAlignment="1"/>
    <xf numFmtId="0" fontId="8" fillId="3" borderId="5" xfId="0" applyNumberFormat="1" applyFont="1" applyFill="1" applyBorder="1" applyAlignment="1" applyProtection="1">
      <alignment horizontal="left"/>
      <protection locked="0"/>
    </xf>
    <xf numFmtId="0" fontId="7" fillId="3" borderId="39" xfId="0" applyNumberFormat="1" applyFont="1" applyFill="1" applyBorder="1" applyAlignment="1" applyProtection="1">
      <alignment horizontal="left"/>
      <protection locked="0"/>
    </xf>
    <xf numFmtId="0" fontId="0" fillId="3" borderId="39" xfId="0" applyFill="1" applyBorder="1" applyAlignment="1"/>
    <xf numFmtId="0" fontId="0" fillId="3" borderId="41" xfId="0" applyFill="1" applyBorder="1" applyAlignment="1"/>
    <xf numFmtId="0" fontId="7" fillId="13" borderId="47" xfId="0" applyFont="1" applyFill="1" applyBorder="1" applyAlignment="1">
      <alignment horizontal="left"/>
    </xf>
    <xf numFmtId="0" fontId="7" fillId="13" borderId="65" xfId="0" applyFont="1" applyFill="1" applyBorder="1" applyAlignment="1">
      <alignment horizontal="left"/>
    </xf>
    <xf numFmtId="0" fontId="7" fillId="13" borderId="8" xfId="0" applyFont="1" applyFill="1" applyBorder="1" applyAlignment="1">
      <alignment horizontal="left"/>
    </xf>
    <xf numFmtId="0" fontId="7" fillId="3" borderId="6" xfId="0" applyNumberFormat="1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/>
    <xf numFmtId="0" fontId="0" fillId="3" borderId="70" xfId="0" applyFill="1" applyBorder="1" applyAlignment="1"/>
    <xf numFmtId="167" fontId="0" fillId="3" borderId="6" xfId="0" applyNumberFormat="1" applyFill="1" applyBorder="1" applyAlignment="1"/>
    <xf numFmtId="0" fontId="0" fillId="0" borderId="0" xfId="0" applyBorder="1" applyAlignment="1">
      <alignment horizontal="right"/>
    </xf>
    <xf numFmtId="0" fontId="0" fillId="3" borderId="50" xfId="0" applyFill="1" applyBorder="1" applyAlignment="1"/>
    <xf numFmtId="0" fontId="7" fillId="13" borderId="66" xfId="0" applyFont="1" applyFill="1" applyBorder="1" applyAlignment="1">
      <alignment horizontal="left"/>
    </xf>
    <xf numFmtId="0" fontId="0" fillId="0" borderId="41" xfId="0" applyBorder="1" applyAlignment="1" applyProtection="1">
      <alignment horizontal="right"/>
      <protection locked="0"/>
    </xf>
    <xf numFmtId="0" fontId="7" fillId="13" borderId="74" xfId="0" applyFont="1" applyFill="1" applyBorder="1" applyAlignment="1">
      <alignment horizontal="left"/>
    </xf>
    <xf numFmtId="0" fontId="7" fillId="3" borderId="40" xfId="0" applyNumberFormat="1" applyFont="1" applyFill="1" applyBorder="1" applyAlignment="1" applyProtection="1">
      <alignment horizontal="left"/>
      <protection locked="0"/>
    </xf>
    <xf numFmtId="0" fontId="0" fillId="3" borderId="40" xfId="0" applyFill="1" applyBorder="1" applyAlignment="1"/>
    <xf numFmtId="0" fontId="0" fillId="3" borderId="75" xfId="0" applyFill="1" applyBorder="1" applyAlignment="1"/>
    <xf numFmtId="167" fontId="0" fillId="3" borderId="39" xfId="0" applyNumberFormat="1" applyFill="1" applyBorder="1" applyAlignment="1"/>
    <xf numFmtId="0" fontId="0" fillId="0" borderId="2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Border="1" applyAlignment="1" applyProtection="1">
      <alignment horizontal="right"/>
      <protection locked="0"/>
    </xf>
    <xf numFmtId="0" fontId="7" fillId="3" borderId="68" xfId="0" applyNumberFormat="1" applyFont="1" applyFill="1" applyBorder="1" applyAlignment="1" applyProtection="1">
      <alignment horizontal="left"/>
      <protection locked="0"/>
    </xf>
    <xf numFmtId="167" fontId="0" fillId="3" borderId="68" xfId="0" applyNumberFormat="1" applyFill="1" applyBorder="1" applyAlignment="1"/>
    <xf numFmtId="0" fontId="0" fillId="3" borderId="76" xfId="0" applyFill="1" applyBorder="1" applyAlignment="1"/>
    <xf numFmtId="0" fontId="21" fillId="0" borderId="0" xfId="0" applyFont="1" applyBorder="1" applyAlignment="1" applyProtection="1">
      <alignment horizontal="center"/>
      <protection hidden="1"/>
    </xf>
    <xf numFmtId="0" fontId="2" fillId="3" borderId="1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0" fontId="0" fillId="3" borderId="18" xfId="0" applyFill="1" applyBorder="1" applyAlignment="1"/>
    <xf numFmtId="0" fontId="0" fillId="3" borderId="53" xfId="0" applyFill="1" applyBorder="1" applyAlignment="1"/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0" fillId="0" borderId="5" xfId="0" applyBorder="1" applyAlignment="1"/>
    <xf numFmtId="0" fontId="0" fillId="0" borderId="3" xfId="0" applyBorder="1" applyAlignment="1"/>
    <xf numFmtId="0" fontId="4" fillId="0" borderId="7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0" fillId="0" borderId="3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4" fillId="0" borderId="33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54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54" xfId="0" applyFont="1" applyBorder="1" applyAlignment="1">
      <alignment wrapText="1"/>
    </xf>
    <xf numFmtId="0" fontId="4" fillId="0" borderId="64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0" fillId="0" borderId="57" xfId="0" applyBorder="1" applyAlignment="1">
      <alignment horizontal="center"/>
    </xf>
    <xf numFmtId="0" fontId="0" fillId="0" borderId="54" xfId="0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6" borderId="5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2" fillId="0" borderId="34" xfId="0" applyFont="1" applyBorder="1" applyAlignment="1">
      <alignment horizontal="center" vertical="center" textRotation="90"/>
    </xf>
    <xf numFmtId="0" fontId="12" fillId="0" borderId="49" xfId="0" applyFont="1" applyBorder="1" applyAlignment="1">
      <alignment horizontal="center" vertical="center" textRotation="90"/>
    </xf>
    <xf numFmtId="0" fontId="12" fillId="0" borderId="50" xfId="0" applyFont="1" applyBorder="1" applyAlignment="1">
      <alignment horizontal="center" vertical="center" textRotation="90"/>
    </xf>
    <xf numFmtId="0" fontId="0" fillId="6" borderId="54" xfId="0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 wrapText="1"/>
    </xf>
    <xf numFmtId="0" fontId="4" fillId="6" borderId="59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69" xfId="0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4" fillId="6" borderId="64" xfId="0" applyFont="1" applyFill="1" applyBorder="1" applyAlignment="1">
      <alignment horizontal="center" wrapText="1"/>
    </xf>
    <xf numFmtId="0" fontId="4" fillId="6" borderId="39" xfId="0" applyFont="1" applyFill="1" applyBorder="1" applyAlignment="1">
      <alignment horizontal="center" wrapText="1"/>
    </xf>
    <xf numFmtId="0" fontId="4" fillId="6" borderId="41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3" fillId="0" borderId="21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0" fillId="0" borderId="33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4" fillId="6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horizontal="center" wrapText="1"/>
    </xf>
    <xf numFmtId="0" fontId="4" fillId="0" borderId="63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5" fillId="5" borderId="29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/>
    </xf>
    <xf numFmtId="0" fontId="5" fillId="5" borderId="57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 wrapText="1"/>
    </xf>
    <xf numFmtId="0" fontId="0" fillId="0" borderId="2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4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4" fillId="6" borderId="70" xfId="0" applyFont="1" applyFill="1" applyBorder="1" applyAlignment="1">
      <alignment horizontal="center" wrapText="1"/>
    </xf>
    <xf numFmtId="0" fontId="4" fillId="6" borderId="71" xfId="0" applyFont="1" applyFill="1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6" borderId="7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4" fillId="6" borderId="22" xfId="0" applyFont="1" applyFill="1" applyBorder="1" applyAlignment="1">
      <alignment horizont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14" fillId="0" borderId="4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11" borderId="61" xfId="0" applyFont="1" applyFill="1" applyBorder="1" applyAlignment="1" applyProtection="1">
      <alignment horizontal="center" vertical="center" wrapText="1"/>
      <protection hidden="1"/>
    </xf>
    <xf numFmtId="0" fontId="21" fillId="11" borderId="18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1" fillId="11" borderId="72" xfId="0" applyFont="1" applyFill="1" applyBorder="1" applyAlignment="1" applyProtection="1">
      <alignment horizontal="center" vertical="center" wrapText="1"/>
      <protection hidden="1"/>
    </xf>
    <xf numFmtId="0" fontId="21" fillId="11" borderId="26" xfId="0" applyFont="1" applyFill="1" applyBorder="1" applyAlignment="1" applyProtection="1">
      <alignment horizontal="center" vertical="center" wrapText="1"/>
      <protection hidden="1"/>
    </xf>
    <xf numFmtId="0" fontId="21" fillId="11" borderId="27" xfId="0" applyFont="1" applyFill="1" applyBorder="1" applyAlignment="1" applyProtection="1">
      <alignment horizontal="center" vertical="center" wrapText="1"/>
      <protection hidden="1"/>
    </xf>
    <xf numFmtId="0" fontId="21" fillId="11" borderId="0" xfId="0" applyFont="1" applyFill="1" applyBorder="1" applyAlignment="1" applyProtection="1">
      <alignment horizontal="center" vertical="center" wrapText="1"/>
      <protection hidden="1"/>
    </xf>
    <xf numFmtId="0" fontId="21" fillId="11" borderId="20" xfId="0" applyFont="1" applyFill="1" applyBorder="1" applyAlignment="1" applyProtection="1">
      <alignment horizontal="center" vertical="center" wrapText="1"/>
      <protection hidden="1"/>
    </xf>
    <xf numFmtId="0" fontId="21" fillId="11" borderId="38" xfId="0" applyFont="1" applyFill="1" applyBorder="1" applyAlignment="1" applyProtection="1">
      <alignment horizontal="center" vertical="center" wrapText="1"/>
      <protection hidden="1"/>
    </xf>
    <xf numFmtId="0" fontId="21" fillId="11" borderId="25" xfId="0" applyFont="1" applyFill="1" applyBorder="1" applyAlignment="1" applyProtection="1">
      <alignment horizontal="center" vertical="center" wrapText="1"/>
      <protection hidden="1"/>
    </xf>
    <xf numFmtId="0" fontId="21" fillId="11" borderId="76" xfId="0" applyFont="1" applyFill="1" applyBorder="1" applyAlignment="1" applyProtection="1">
      <alignment horizontal="center" vertical="center" wrapText="1"/>
      <protection hidden="1"/>
    </xf>
    <xf numFmtId="0" fontId="21" fillId="11" borderId="58" xfId="0" applyFont="1" applyFill="1" applyBorder="1" applyAlignment="1" applyProtection="1">
      <alignment horizontal="center"/>
      <protection hidden="1"/>
    </xf>
    <xf numFmtId="0" fontId="21" fillId="11" borderId="35" xfId="0" applyFont="1" applyFill="1" applyBorder="1" applyAlignment="1" applyProtection="1">
      <alignment horizontal="center"/>
      <protection hidden="1"/>
    </xf>
    <xf numFmtId="0" fontId="21" fillId="11" borderId="9" xfId="0" applyFont="1" applyFill="1" applyBorder="1" applyAlignment="1" applyProtection="1">
      <alignment horizontal="center"/>
      <protection hidden="1"/>
    </xf>
    <xf numFmtId="0" fontId="21" fillId="11" borderId="43" xfId="0" applyFont="1" applyFill="1" applyBorder="1" applyAlignment="1" applyProtection="1">
      <alignment horizontal="center"/>
      <protection hidden="1"/>
    </xf>
    <xf numFmtId="0" fontId="21" fillId="11" borderId="16" xfId="0" applyFont="1" applyFill="1" applyBorder="1" applyAlignment="1" applyProtection="1">
      <alignment horizontal="center"/>
      <protection hidden="1"/>
    </xf>
    <xf numFmtId="0" fontId="21" fillId="11" borderId="10" xfId="0" applyFont="1" applyFill="1" applyBorder="1" applyAlignment="1" applyProtection="1">
      <alignment horizontal="center"/>
      <protection hidden="1"/>
    </xf>
    <xf numFmtId="0" fontId="21" fillId="11" borderId="48" xfId="0" applyFont="1" applyFill="1" applyBorder="1" applyAlignment="1" applyProtection="1">
      <alignment horizontal="center"/>
      <protection hidden="1"/>
    </xf>
    <xf numFmtId="0" fontId="21" fillId="11" borderId="59" xfId="0" applyFont="1" applyFill="1" applyBorder="1" applyAlignment="1" applyProtection="1">
      <alignment horizontal="center"/>
      <protection hidden="1"/>
    </xf>
    <xf numFmtId="0" fontId="21" fillId="11" borderId="11" xfId="0" applyFont="1" applyFill="1" applyBorder="1" applyAlignment="1" applyProtection="1">
      <alignment horizontal="center"/>
      <protection hidden="1"/>
    </xf>
    <xf numFmtId="0" fontId="21" fillId="11" borderId="77" xfId="0" applyFont="1" applyFill="1" applyBorder="1" applyAlignment="1" applyProtection="1">
      <alignment horizontal="center" vertical="center" wrapText="1"/>
      <protection hidden="1"/>
    </xf>
    <xf numFmtId="0" fontId="21" fillId="11" borderId="38" xfId="0" applyFont="1" applyFill="1" applyBorder="1" applyAlignment="1" applyProtection="1">
      <alignment horizontal="center" wrapText="1"/>
      <protection hidden="1"/>
    </xf>
    <xf numFmtId="0" fontId="21" fillId="11" borderId="76" xfId="0" applyFont="1" applyFill="1" applyBorder="1" applyAlignment="1" applyProtection="1">
      <alignment horizontal="center" wrapText="1"/>
      <protection hidden="1"/>
    </xf>
    <xf numFmtId="0" fontId="21" fillId="11" borderId="53" xfId="0" applyFont="1" applyFill="1" applyBorder="1" applyAlignment="1" applyProtection="1">
      <alignment horizontal="center" vertical="center" wrapText="1"/>
      <protection hidden="1"/>
    </xf>
    <xf numFmtId="0" fontId="21" fillId="11" borderId="24" xfId="0" applyFont="1" applyFill="1" applyBorder="1" applyAlignment="1" applyProtection="1">
      <alignment horizontal="center" vertical="center" wrapText="1"/>
      <protection hidden="1"/>
    </xf>
    <xf numFmtId="0" fontId="21" fillId="0" borderId="26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11" borderId="61" xfId="0" applyFont="1" applyFill="1" applyBorder="1" applyAlignment="1">
      <alignment horizontal="center" vertical="center" wrapText="1"/>
    </xf>
    <xf numFmtId="0" fontId="21" fillId="11" borderId="18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 wrapText="1"/>
    </xf>
    <xf numFmtId="0" fontId="21" fillId="11" borderId="72" xfId="0" applyFont="1" applyFill="1" applyBorder="1" applyAlignment="1">
      <alignment horizontal="center" vertical="center" wrapText="1"/>
    </xf>
    <xf numFmtId="0" fontId="21" fillId="11" borderId="26" xfId="0" applyFont="1" applyFill="1" applyBorder="1" applyAlignment="1">
      <alignment horizontal="center" vertical="center" wrapText="1"/>
    </xf>
    <xf numFmtId="0" fontId="21" fillId="11" borderId="27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1" xfId="0" applyFont="1" applyFill="1" applyBorder="1" applyAlignment="1" applyProtection="1">
      <alignment horizontal="center" vertical="center" wrapText="1"/>
      <protection hidden="1"/>
    </xf>
    <xf numFmtId="0" fontId="21" fillId="11" borderId="28" xfId="0" applyFont="1" applyFill="1" applyBorder="1" applyAlignment="1" applyProtection="1">
      <alignment horizontal="center" vertical="center" wrapText="1"/>
      <protection hidden="1"/>
    </xf>
    <xf numFmtId="0" fontId="21" fillId="11" borderId="29" xfId="0" applyFont="1" applyFill="1" applyBorder="1" applyAlignment="1" applyProtection="1">
      <alignment horizontal="center"/>
      <protection hidden="1"/>
    </xf>
    <xf numFmtId="0" fontId="21" fillId="11" borderId="33" xfId="0" applyFont="1" applyFill="1" applyBorder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38" xfId="0" applyFont="1" applyBorder="1" applyAlignment="1" applyProtection="1">
      <alignment horizontal="center"/>
      <protection hidden="1"/>
    </xf>
    <xf numFmtId="0" fontId="21" fillId="0" borderId="76" xfId="0" applyFont="1" applyBorder="1" applyAlignment="1" applyProtection="1">
      <alignment horizontal="center"/>
      <protection hidden="1"/>
    </xf>
    <xf numFmtId="0" fontId="21" fillId="11" borderId="61" xfId="0" applyFont="1" applyFill="1" applyBorder="1" applyAlignment="1" applyProtection="1">
      <alignment horizontal="center" wrapText="1"/>
      <protection hidden="1"/>
    </xf>
    <xf numFmtId="0" fontId="21" fillId="11" borderId="18" xfId="0" applyFont="1" applyFill="1" applyBorder="1" applyAlignment="1" applyProtection="1">
      <alignment horizontal="center" wrapText="1"/>
      <protection hidden="1"/>
    </xf>
    <xf numFmtId="0" fontId="21" fillId="11" borderId="2" xfId="0" applyFont="1" applyFill="1" applyBorder="1" applyAlignment="1" applyProtection="1">
      <alignment horizontal="center" wrapText="1"/>
      <protection hidden="1"/>
    </xf>
    <xf numFmtId="0" fontId="21" fillId="11" borderId="72" xfId="0" applyFont="1" applyFill="1" applyBorder="1" applyAlignment="1" applyProtection="1">
      <alignment horizontal="center" wrapText="1"/>
      <protection hidden="1"/>
    </xf>
    <xf numFmtId="0" fontId="21" fillId="11" borderId="26" xfId="0" applyFont="1" applyFill="1" applyBorder="1" applyAlignment="1" applyProtection="1">
      <alignment horizontal="center" wrapText="1"/>
      <protection hidden="1"/>
    </xf>
    <xf numFmtId="0" fontId="21" fillId="11" borderId="27" xfId="0" applyFont="1" applyFill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1" fillId="0" borderId="45" xfId="0" applyFont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/>
      <protection hidden="1"/>
    </xf>
    <xf numFmtId="0" fontId="21" fillId="11" borderId="45" xfId="0" applyFont="1" applyFill="1" applyBorder="1" applyAlignment="1" applyProtection="1">
      <alignment horizontal="center"/>
      <protection hidden="1"/>
    </xf>
    <xf numFmtId="0" fontId="21" fillId="11" borderId="15" xfId="0" applyFont="1" applyFill="1" applyBorder="1" applyAlignment="1" applyProtection="1">
      <alignment horizontal="center"/>
      <protection hidden="1"/>
    </xf>
    <xf numFmtId="0" fontId="21" fillId="11" borderId="52" xfId="0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34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0" fillId="0" borderId="50" xfId="0" applyBorder="1" applyAlignment="1" applyProtection="1">
      <alignment horizontal="center"/>
      <protection hidden="1"/>
    </xf>
    <xf numFmtId="0" fontId="0" fillId="11" borderId="45" xfId="0" applyFont="1" applyFill="1" applyBorder="1" applyAlignment="1" applyProtection="1">
      <alignment horizontal="center"/>
      <protection hidden="1"/>
    </xf>
    <xf numFmtId="0" fontId="0" fillId="11" borderId="15" xfId="0" applyFont="1" applyFill="1" applyBorder="1" applyAlignment="1" applyProtection="1">
      <alignment horizontal="center"/>
      <protection hidden="1"/>
    </xf>
    <xf numFmtId="0" fontId="0" fillId="11" borderId="52" xfId="0" applyFont="1" applyFill="1" applyBorder="1" applyAlignment="1" applyProtection="1">
      <alignment horizontal="center"/>
      <protection hidden="1"/>
    </xf>
    <xf numFmtId="0" fontId="21" fillId="11" borderId="61" xfId="0" applyFont="1" applyFill="1" applyBorder="1" applyAlignment="1" applyProtection="1">
      <alignment horizontal="center" vertical="center"/>
      <protection hidden="1"/>
    </xf>
    <xf numFmtId="0" fontId="21" fillId="11" borderId="18" xfId="0" applyFont="1" applyFill="1" applyBorder="1" applyAlignment="1" applyProtection="1">
      <alignment horizontal="center" vertical="center"/>
      <protection hidden="1"/>
    </xf>
    <xf numFmtId="0" fontId="21" fillId="11" borderId="2" xfId="0" applyFont="1" applyFill="1" applyBorder="1" applyAlignment="1" applyProtection="1">
      <alignment horizontal="center" vertical="center"/>
      <protection hidden="1"/>
    </xf>
    <xf numFmtId="0" fontId="21" fillId="11" borderId="77" xfId="0" applyFont="1" applyFill="1" applyBorder="1" applyAlignment="1" applyProtection="1">
      <alignment horizontal="center" vertical="center"/>
      <protection hidden="1"/>
    </xf>
    <xf numFmtId="0" fontId="21" fillId="11" borderId="0" xfId="0" applyFont="1" applyFill="1" applyBorder="1" applyAlignment="1" applyProtection="1">
      <alignment horizontal="center" vertical="center"/>
      <protection hidden="1"/>
    </xf>
    <xf numFmtId="0" fontId="21" fillId="11" borderId="20" xfId="0" applyFont="1" applyFill="1" applyBorder="1" applyAlignment="1" applyProtection="1">
      <alignment horizontal="center" vertical="center"/>
      <protection hidden="1"/>
    </xf>
    <xf numFmtId="0" fontId="21" fillId="11" borderId="72" xfId="0" applyFont="1" applyFill="1" applyBorder="1" applyAlignment="1" applyProtection="1">
      <alignment horizontal="center" vertical="center"/>
      <protection hidden="1"/>
    </xf>
    <xf numFmtId="0" fontId="21" fillId="11" borderId="26" xfId="0" applyFont="1" applyFill="1" applyBorder="1" applyAlignment="1" applyProtection="1">
      <alignment horizontal="center" vertical="center"/>
      <protection hidden="1"/>
    </xf>
    <xf numFmtId="0" fontId="21" fillId="11" borderId="27" xfId="0" applyFont="1" applyFill="1" applyBorder="1" applyAlignment="1" applyProtection="1">
      <alignment horizontal="center" vertical="center"/>
      <protection hidden="1"/>
    </xf>
    <xf numFmtId="0" fontId="21" fillId="11" borderId="34" xfId="0" applyFont="1" applyFill="1" applyBorder="1" applyAlignment="1" applyProtection="1">
      <alignment horizontal="center" vertical="center" wrapText="1"/>
      <protection hidden="1"/>
    </xf>
    <xf numFmtId="0" fontId="21" fillId="11" borderId="49" xfId="0" applyFont="1" applyFill="1" applyBorder="1" applyAlignment="1" applyProtection="1">
      <alignment horizontal="center" vertical="center" wrapText="1"/>
      <protection hidden="1"/>
    </xf>
    <xf numFmtId="0" fontId="21" fillId="11" borderId="5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wrapText="1"/>
      <protection hidden="1"/>
    </xf>
    <xf numFmtId="0" fontId="21" fillId="0" borderId="34" xfId="0" applyFont="1" applyBorder="1" applyAlignment="1" applyProtection="1">
      <alignment horizontal="center"/>
      <protection hidden="1"/>
    </xf>
    <xf numFmtId="0" fontId="21" fillId="0" borderId="50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0" fillId="8" borderId="46" xfId="0" applyFill="1" applyBorder="1" applyAlignment="1" applyProtection="1">
      <alignment vertical="center"/>
      <protection hidden="1"/>
    </xf>
    <xf numFmtId="2" fontId="0" fillId="0" borderId="44" xfId="0" applyNumberFormat="1" applyBorder="1" applyAlignment="1" applyProtection="1">
      <alignment horizontal="center"/>
      <protection locked="0"/>
    </xf>
    <xf numFmtId="2" fontId="0" fillId="0" borderId="41" xfId="0" applyNumberFormat="1" applyBorder="1" applyAlignment="1" applyProtection="1">
      <protection hidden="1"/>
    </xf>
  </cellXfs>
  <cellStyles count="2">
    <cellStyle name="Нейтральный" xfId="1" builtinId="28"/>
    <cellStyle name="Обычный" xfId="0" builtinId="0"/>
  </cellStyles>
  <dxfs count="475"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  <mruColors>
      <color rgb="FFCCFFCC"/>
      <color rgb="FFFFCCCC"/>
      <color rgb="FF4DB393"/>
      <color rgb="FFD9EFD1"/>
      <color rgb="FFC9E8BE"/>
      <color rgb="FFB0E2B5"/>
      <color rgb="FFAAE8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4281</xdr:colOff>
      <xdr:row>0</xdr:row>
      <xdr:rowOff>136023</xdr:rowOff>
    </xdr:from>
    <xdr:ext cx="12425843" cy="405432"/>
    <xdr:sp macro="" textlink="">
      <xdr:nvSpPr>
        <xdr:cNvPr id="2" name="Прямоугольник 1"/>
        <xdr:cNvSpPr/>
      </xdr:nvSpPr>
      <xdr:spPr>
        <a:xfrm>
          <a:off x="537681" y="136023"/>
          <a:ext cx="12425843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Классика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13807</xdr:colOff>
      <xdr:row>0</xdr:row>
      <xdr:rowOff>107448</xdr:rowOff>
    </xdr:from>
    <xdr:to>
      <xdr:col>1</xdr:col>
      <xdr:colOff>1142860</xdr:colOff>
      <xdr:row>0</xdr:row>
      <xdr:rowOff>611248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207" y="107448"/>
          <a:ext cx="1129053" cy="5038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12845</xdr:colOff>
      <xdr:row>0</xdr:row>
      <xdr:rowOff>159835</xdr:rowOff>
    </xdr:from>
    <xdr:ext cx="10864705" cy="405432"/>
    <xdr:sp macro="" textlink="">
      <xdr:nvSpPr>
        <xdr:cNvPr id="2" name="Прямоугольник 1"/>
        <xdr:cNvSpPr/>
      </xdr:nvSpPr>
      <xdr:spPr>
        <a:xfrm>
          <a:off x="546245" y="159835"/>
          <a:ext cx="10864705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Классика Моно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41420</xdr:colOff>
      <xdr:row>0</xdr:row>
      <xdr:rowOff>140785</xdr:rowOff>
    </xdr:from>
    <xdr:to>
      <xdr:col>1</xdr:col>
      <xdr:colOff>1177886</xdr:colOff>
      <xdr:row>0</xdr:row>
      <xdr:rowOff>644585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820" y="140785"/>
          <a:ext cx="1136466" cy="503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5449</xdr:colOff>
      <xdr:row>0</xdr:row>
      <xdr:rowOff>121735</xdr:rowOff>
    </xdr:from>
    <xdr:ext cx="10681601" cy="400110"/>
    <xdr:sp macro="" textlink="">
      <xdr:nvSpPr>
        <xdr:cNvPr id="2" name="Прямоугольник 1"/>
        <xdr:cNvSpPr/>
      </xdr:nvSpPr>
      <xdr:spPr>
        <a:xfrm>
          <a:off x="538849" y="121735"/>
          <a:ext cx="10681601" cy="400110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Моно 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14974</xdr:colOff>
      <xdr:row>0</xdr:row>
      <xdr:rowOff>93160</xdr:rowOff>
    </xdr:from>
    <xdr:to>
      <xdr:col>1</xdr:col>
      <xdr:colOff>1151440</xdr:colOff>
      <xdr:row>0</xdr:row>
      <xdr:rowOff>596960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374" y="93160"/>
          <a:ext cx="1136466" cy="503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301612</xdr:colOff>
      <xdr:row>0</xdr:row>
      <xdr:rowOff>140785</xdr:rowOff>
    </xdr:from>
    <xdr:ext cx="10366388" cy="405432"/>
    <xdr:sp macro="" textlink="">
      <xdr:nvSpPr>
        <xdr:cNvPr id="2" name="Прямоугольник 1"/>
        <xdr:cNvSpPr/>
      </xdr:nvSpPr>
      <xdr:spPr>
        <a:xfrm>
          <a:off x="301612" y="140785"/>
          <a:ext cx="10366388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 Моно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</a:t>
          </a:r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М</a:t>
          </a:r>
        </a:p>
      </xdr:txBody>
    </xdr:sp>
    <xdr:clientData/>
  </xdr:oneCellAnchor>
  <xdr:twoCellAnchor editAs="oneCell">
    <xdr:from>
      <xdr:col>0</xdr:col>
      <xdr:colOff>301612</xdr:colOff>
      <xdr:row>0</xdr:row>
      <xdr:rowOff>121735</xdr:rowOff>
    </xdr:from>
    <xdr:to>
      <xdr:col>1</xdr:col>
      <xdr:colOff>1133278</xdr:colOff>
      <xdr:row>0</xdr:row>
      <xdr:rowOff>625535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12" y="121735"/>
          <a:ext cx="1136466" cy="503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10654</xdr:colOff>
      <xdr:row>0</xdr:row>
      <xdr:rowOff>207460</xdr:rowOff>
    </xdr:from>
    <xdr:ext cx="10381121" cy="405432"/>
    <xdr:sp macro="" textlink="">
      <xdr:nvSpPr>
        <xdr:cNvPr id="2" name="Прямоугольник 1"/>
        <xdr:cNvSpPr/>
      </xdr:nvSpPr>
      <xdr:spPr>
        <a:xfrm>
          <a:off x="544054" y="207460"/>
          <a:ext cx="10381121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Кассета Моно Зебра 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</a:t>
          </a:r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М</a:t>
          </a:r>
        </a:p>
      </xdr:txBody>
    </xdr:sp>
    <xdr:clientData/>
  </xdr:oneCellAnchor>
  <xdr:twoCellAnchor editAs="oneCell">
    <xdr:from>
      <xdr:col>1</xdr:col>
      <xdr:colOff>20179</xdr:colOff>
      <xdr:row>0</xdr:row>
      <xdr:rowOff>178885</xdr:rowOff>
    </xdr:from>
    <xdr:to>
      <xdr:col>1</xdr:col>
      <xdr:colOff>1156645</xdr:colOff>
      <xdr:row>0</xdr:row>
      <xdr:rowOff>682685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579" y="178885"/>
          <a:ext cx="1136466" cy="503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5072</xdr:colOff>
      <xdr:row>0</xdr:row>
      <xdr:rowOff>126498</xdr:rowOff>
    </xdr:from>
    <xdr:ext cx="11472553" cy="405432"/>
    <xdr:sp macro="" textlink="">
      <xdr:nvSpPr>
        <xdr:cNvPr id="2" name="Прямоугольник 1"/>
        <xdr:cNvSpPr/>
      </xdr:nvSpPr>
      <xdr:spPr>
        <a:xfrm>
          <a:off x="290822" y="126498"/>
          <a:ext cx="11472553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Классика Моно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14597</xdr:colOff>
      <xdr:row>0</xdr:row>
      <xdr:rowOff>107448</xdr:rowOff>
    </xdr:from>
    <xdr:to>
      <xdr:col>1</xdr:col>
      <xdr:colOff>1151063</xdr:colOff>
      <xdr:row>0</xdr:row>
      <xdr:rowOff>611248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347" y="107448"/>
          <a:ext cx="1136466" cy="503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8920</xdr:colOff>
      <xdr:row>0</xdr:row>
      <xdr:rowOff>159835</xdr:rowOff>
    </xdr:from>
    <xdr:ext cx="10992455" cy="405432"/>
    <xdr:sp macro="" textlink="">
      <xdr:nvSpPr>
        <xdr:cNvPr id="2" name="Прямоугольник 1"/>
        <xdr:cNvSpPr/>
      </xdr:nvSpPr>
      <xdr:spPr>
        <a:xfrm>
          <a:off x="332770" y="159835"/>
          <a:ext cx="10992455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Классика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Double 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8920</xdr:colOff>
      <xdr:row>0</xdr:row>
      <xdr:rowOff>131260</xdr:rowOff>
    </xdr:from>
    <xdr:to>
      <xdr:col>1</xdr:col>
      <xdr:colOff>1145386</xdr:colOff>
      <xdr:row>0</xdr:row>
      <xdr:rowOff>635060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770" y="131260"/>
          <a:ext cx="1136466" cy="503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5167</xdr:colOff>
      <xdr:row>0</xdr:row>
      <xdr:rowOff>131260</xdr:rowOff>
    </xdr:from>
    <xdr:ext cx="11224807" cy="400110"/>
    <xdr:sp macro="" textlink="">
      <xdr:nvSpPr>
        <xdr:cNvPr id="2" name="Прямоугольник 1"/>
        <xdr:cNvSpPr/>
      </xdr:nvSpPr>
      <xdr:spPr>
        <a:xfrm>
          <a:off x="290917" y="131260"/>
          <a:ext cx="11224807" cy="400110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Double 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14692</xdr:colOff>
      <xdr:row>0</xdr:row>
      <xdr:rowOff>102685</xdr:rowOff>
    </xdr:from>
    <xdr:to>
      <xdr:col>1</xdr:col>
      <xdr:colOff>1151158</xdr:colOff>
      <xdr:row>0</xdr:row>
      <xdr:rowOff>606485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442" y="102685"/>
          <a:ext cx="1136466" cy="503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104775</xdr:rowOff>
    </xdr:from>
    <xdr:ext cx="10420350" cy="400110"/>
    <xdr:sp macro="" textlink="">
      <xdr:nvSpPr>
        <xdr:cNvPr id="3" name="Прямоугольник 2"/>
        <xdr:cNvSpPr/>
      </xdr:nvSpPr>
      <xdr:spPr>
        <a:xfrm>
          <a:off x="552450" y="104775"/>
          <a:ext cx="10420350" cy="400110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Double  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9525</xdr:colOff>
      <xdr:row>0</xdr:row>
      <xdr:rowOff>76200</xdr:rowOff>
    </xdr:from>
    <xdr:to>
      <xdr:col>1</xdr:col>
      <xdr:colOff>1145991</xdr:colOff>
      <xdr:row>0</xdr:row>
      <xdr:rowOff>580000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76200"/>
          <a:ext cx="1136466" cy="50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9332</xdr:colOff>
      <xdr:row>0</xdr:row>
      <xdr:rowOff>115265</xdr:rowOff>
    </xdr:from>
    <xdr:ext cx="11276895" cy="405432"/>
    <xdr:sp macro="" textlink="">
      <xdr:nvSpPr>
        <xdr:cNvPr id="2" name="Прямоугольник 1"/>
        <xdr:cNvSpPr/>
      </xdr:nvSpPr>
      <xdr:spPr>
        <a:xfrm>
          <a:off x="539497" y="115265"/>
          <a:ext cx="11276895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9332</xdr:colOff>
      <xdr:row>0</xdr:row>
      <xdr:rowOff>97293</xdr:rowOff>
    </xdr:from>
    <xdr:to>
      <xdr:col>1</xdr:col>
      <xdr:colOff>1138385</xdr:colOff>
      <xdr:row>0</xdr:row>
      <xdr:rowOff>601093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497" y="97293"/>
          <a:ext cx="1129053" cy="503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525581</xdr:colOff>
      <xdr:row>0</xdr:row>
      <xdr:rowOff>112210</xdr:rowOff>
    </xdr:from>
    <xdr:ext cx="11618794" cy="405432"/>
    <xdr:sp macro="" textlink="">
      <xdr:nvSpPr>
        <xdr:cNvPr id="2" name="Прямоугольник 1"/>
        <xdr:cNvSpPr/>
      </xdr:nvSpPr>
      <xdr:spPr>
        <a:xfrm>
          <a:off x="525581" y="112210"/>
          <a:ext cx="11618794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Зебра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11232</xdr:colOff>
      <xdr:row>0</xdr:row>
      <xdr:rowOff>93160</xdr:rowOff>
    </xdr:from>
    <xdr:to>
      <xdr:col>1</xdr:col>
      <xdr:colOff>1140285</xdr:colOff>
      <xdr:row>0</xdr:row>
      <xdr:rowOff>596960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632" y="93160"/>
          <a:ext cx="1129053" cy="503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0</xdr:row>
      <xdr:rowOff>121735</xdr:rowOff>
    </xdr:from>
    <xdr:ext cx="12068175" cy="405432"/>
    <xdr:sp macro="" textlink="">
      <xdr:nvSpPr>
        <xdr:cNvPr id="2" name="Прямоугольник 1"/>
        <xdr:cNvSpPr/>
      </xdr:nvSpPr>
      <xdr:spPr>
        <a:xfrm>
          <a:off x="523875" y="121735"/>
          <a:ext cx="12068175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8841</xdr:colOff>
      <xdr:row>0</xdr:row>
      <xdr:rowOff>74110</xdr:rowOff>
    </xdr:from>
    <xdr:to>
      <xdr:col>1</xdr:col>
      <xdr:colOff>1137894</xdr:colOff>
      <xdr:row>0</xdr:row>
      <xdr:rowOff>577910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241" y="74110"/>
          <a:ext cx="1129053" cy="503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12378</xdr:colOff>
      <xdr:row>0</xdr:row>
      <xdr:rowOff>140785</xdr:rowOff>
    </xdr:from>
    <xdr:ext cx="11455721" cy="415370"/>
    <xdr:sp macro="" textlink="">
      <xdr:nvSpPr>
        <xdr:cNvPr id="2" name="Прямоугольник 1"/>
        <xdr:cNvSpPr/>
      </xdr:nvSpPr>
      <xdr:spPr>
        <a:xfrm>
          <a:off x="545778" y="140785"/>
          <a:ext cx="11455721" cy="415370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Классика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21904</xdr:colOff>
      <xdr:row>0</xdr:row>
      <xdr:rowOff>121735</xdr:rowOff>
    </xdr:from>
    <xdr:to>
      <xdr:col>1</xdr:col>
      <xdr:colOff>1150957</xdr:colOff>
      <xdr:row>0</xdr:row>
      <xdr:rowOff>625535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4" y="121735"/>
          <a:ext cx="1129053" cy="503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519198</xdr:colOff>
      <xdr:row>0</xdr:row>
      <xdr:rowOff>121735</xdr:rowOff>
    </xdr:from>
    <xdr:ext cx="11196552" cy="405432"/>
    <xdr:sp macro="" textlink="">
      <xdr:nvSpPr>
        <xdr:cNvPr id="2" name="Прямоугольник 1"/>
        <xdr:cNvSpPr/>
      </xdr:nvSpPr>
      <xdr:spPr>
        <a:xfrm>
          <a:off x="519198" y="121735"/>
          <a:ext cx="11196552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500148</xdr:colOff>
      <xdr:row>0</xdr:row>
      <xdr:rowOff>93160</xdr:rowOff>
    </xdr:from>
    <xdr:to>
      <xdr:col>1</xdr:col>
      <xdr:colOff>1095801</xdr:colOff>
      <xdr:row>0</xdr:row>
      <xdr:rowOff>596960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148" y="93160"/>
          <a:ext cx="1129053" cy="503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523874</xdr:colOff>
      <xdr:row>0</xdr:row>
      <xdr:rowOff>88398</xdr:rowOff>
    </xdr:from>
    <xdr:ext cx="11020425" cy="405432"/>
    <xdr:sp macro="" textlink="">
      <xdr:nvSpPr>
        <xdr:cNvPr id="2" name="Прямоугольник 1"/>
        <xdr:cNvSpPr/>
      </xdr:nvSpPr>
      <xdr:spPr>
        <a:xfrm>
          <a:off x="523874" y="88398"/>
          <a:ext cx="11020425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59823</xdr:rowOff>
    </xdr:from>
    <xdr:to>
      <xdr:col>1</xdr:col>
      <xdr:colOff>1136466</xdr:colOff>
      <xdr:row>0</xdr:row>
      <xdr:rowOff>563623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59823"/>
          <a:ext cx="1136466" cy="503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23392</xdr:colOff>
      <xdr:row>0</xdr:row>
      <xdr:rowOff>102685</xdr:rowOff>
    </xdr:from>
    <xdr:ext cx="10339808" cy="405432"/>
    <xdr:sp macro="" textlink="">
      <xdr:nvSpPr>
        <xdr:cNvPr id="2" name="Прямоугольник 1"/>
        <xdr:cNvSpPr/>
      </xdr:nvSpPr>
      <xdr:spPr>
        <a:xfrm>
          <a:off x="556792" y="102685"/>
          <a:ext cx="10339808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Классика Моно 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</a:t>
          </a:r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М</a:t>
          </a:r>
        </a:p>
      </xdr:txBody>
    </xdr:sp>
    <xdr:clientData/>
  </xdr:oneCellAnchor>
  <xdr:twoCellAnchor editAs="oneCell">
    <xdr:from>
      <xdr:col>1</xdr:col>
      <xdr:colOff>32917</xdr:colOff>
      <xdr:row>0</xdr:row>
      <xdr:rowOff>83635</xdr:rowOff>
    </xdr:from>
    <xdr:to>
      <xdr:col>1</xdr:col>
      <xdr:colOff>1169383</xdr:colOff>
      <xdr:row>0</xdr:row>
      <xdr:rowOff>587435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317" y="83635"/>
          <a:ext cx="1136466" cy="50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8901</xdr:colOff>
      <xdr:row>0</xdr:row>
      <xdr:rowOff>107448</xdr:rowOff>
    </xdr:from>
    <xdr:ext cx="10363824" cy="405432"/>
    <xdr:sp macro="" textlink="">
      <xdr:nvSpPr>
        <xdr:cNvPr id="2" name="Прямоугольник 1"/>
        <xdr:cNvSpPr/>
      </xdr:nvSpPr>
      <xdr:spPr>
        <a:xfrm>
          <a:off x="542301" y="107448"/>
          <a:ext cx="10363824" cy="405432"/>
        </a:xfrm>
        <a:prstGeom prst="rect">
          <a:avLst/>
        </a:prstGeom>
        <a:ln w="28575">
          <a:solidFill>
            <a:srgbClr val="4DB393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Моно 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</a:t>
          </a:r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М</a:t>
          </a:r>
        </a:p>
      </xdr:txBody>
    </xdr:sp>
    <xdr:clientData/>
  </xdr:oneCellAnchor>
  <xdr:twoCellAnchor editAs="oneCell">
    <xdr:from>
      <xdr:col>1</xdr:col>
      <xdr:colOff>8901</xdr:colOff>
      <xdr:row>0</xdr:row>
      <xdr:rowOff>78873</xdr:rowOff>
    </xdr:from>
    <xdr:to>
      <xdr:col>1</xdr:col>
      <xdr:colOff>1145367</xdr:colOff>
      <xdr:row>0</xdr:row>
      <xdr:rowOff>582673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301" y="78873"/>
          <a:ext cx="1136466" cy="50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37"/>
  <sheetViews>
    <sheetView zoomScale="130" zoomScaleNormal="130" workbookViewId="0">
      <selection activeCell="A14" sqref="A14"/>
    </sheetView>
  </sheetViews>
  <sheetFormatPr defaultRowHeight="11.25"/>
  <cols>
    <col min="1" max="1" width="59.83203125" customWidth="1"/>
    <col min="2" max="2" width="11.33203125" customWidth="1"/>
    <col min="3" max="3" width="11.1640625" customWidth="1"/>
    <col min="4" max="4" width="12.1640625" customWidth="1"/>
    <col min="5" max="5" width="12.5" customWidth="1"/>
    <col min="13" max="13" width="20.5" customWidth="1"/>
  </cols>
  <sheetData>
    <row r="1" spans="1:13" ht="31.5" customHeight="1" thickBot="1">
      <c r="A1" s="869" t="s">
        <v>172</v>
      </c>
      <c r="B1" s="870"/>
      <c r="C1" s="870"/>
      <c r="D1" s="870"/>
      <c r="E1" s="368"/>
      <c r="F1" s="15"/>
    </row>
    <row r="2" spans="1:13" ht="14.25">
      <c r="A2" s="12" t="s">
        <v>3</v>
      </c>
      <c r="B2" s="16"/>
      <c r="C2" s="17"/>
      <c r="D2" s="17"/>
      <c r="E2" s="17"/>
      <c r="F2" s="18"/>
      <c r="H2" s="871" t="s">
        <v>150</v>
      </c>
      <c r="I2" s="872"/>
      <c r="J2" s="872"/>
      <c r="K2" s="872"/>
      <c r="L2" s="872"/>
      <c r="M2" s="873"/>
    </row>
    <row r="3" spans="1:13" ht="12" thickBot="1">
      <c r="A3" s="13" t="s">
        <v>10</v>
      </c>
      <c r="B3" s="19">
        <v>1.4</v>
      </c>
      <c r="C3" s="17"/>
      <c r="D3" s="17"/>
      <c r="E3" s="17"/>
      <c r="F3" s="18"/>
      <c r="H3" s="874"/>
      <c r="I3" s="875"/>
      <c r="J3" s="875"/>
      <c r="K3" s="875"/>
      <c r="L3" s="875"/>
      <c r="M3" s="876"/>
    </row>
    <row r="4" spans="1:13">
      <c r="A4" s="13" t="s">
        <v>1</v>
      </c>
      <c r="B4" s="19">
        <v>1</v>
      </c>
      <c r="C4" s="17"/>
      <c r="D4" s="17"/>
      <c r="E4" s="17"/>
      <c r="F4" s="18"/>
    </row>
    <row r="5" spans="1:13">
      <c r="A5" s="13" t="s">
        <v>2</v>
      </c>
      <c r="B5" s="19">
        <v>1</v>
      </c>
      <c r="C5" s="17"/>
      <c r="D5" s="17"/>
      <c r="E5" s="17"/>
      <c r="F5" s="18"/>
    </row>
    <row r="6" spans="1:13">
      <c r="A6" s="13" t="s">
        <v>170</v>
      </c>
      <c r="B6" s="19">
        <v>10</v>
      </c>
      <c r="C6" s="17"/>
      <c r="D6" s="17"/>
      <c r="E6" s="17"/>
      <c r="F6" s="18"/>
    </row>
    <row r="7" spans="1:13">
      <c r="A7" s="13" t="s">
        <v>648</v>
      </c>
      <c r="B7" s="19">
        <v>2</v>
      </c>
      <c r="C7" s="17"/>
      <c r="D7" s="17"/>
      <c r="E7" s="17"/>
      <c r="F7" s="18"/>
    </row>
    <row r="8" spans="1:13">
      <c r="A8" s="13" t="s">
        <v>651</v>
      </c>
      <c r="B8" s="19">
        <v>2</v>
      </c>
      <c r="C8" s="17"/>
      <c r="D8" s="17"/>
      <c r="E8" s="17"/>
      <c r="F8" s="18"/>
    </row>
    <row r="9" spans="1:13" ht="12" thickBot="1">
      <c r="A9" s="14" t="s">
        <v>99</v>
      </c>
      <c r="B9" s="20">
        <v>50</v>
      </c>
      <c r="C9" s="17"/>
      <c r="D9" s="17"/>
      <c r="E9" s="17"/>
      <c r="F9" s="18"/>
    </row>
    <row r="10" spans="1:13">
      <c r="A10" s="21"/>
      <c r="B10" s="22"/>
      <c r="C10" s="17"/>
      <c r="D10" s="17"/>
      <c r="E10" s="17"/>
      <c r="F10" s="18"/>
    </row>
    <row r="11" spans="1:13" ht="12" thickBot="1">
      <c r="A11" s="23" t="s">
        <v>11</v>
      </c>
      <c r="B11" s="24"/>
      <c r="C11" s="24"/>
      <c r="D11" s="24"/>
      <c r="E11" s="24"/>
      <c r="F11" s="18"/>
    </row>
    <row r="12" spans="1:13">
      <c r="A12" s="25"/>
      <c r="B12" s="26" t="s">
        <v>12</v>
      </c>
      <c r="C12" s="27" t="s">
        <v>4</v>
      </c>
      <c r="D12" s="27" t="s">
        <v>13</v>
      </c>
      <c r="E12" s="16"/>
      <c r="F12" s="18"/>
    </row>
    <row r="13" spans="1:13" ht="12.75" customHeight="1">
      <c r="A13" s="28" t="s">
        <v>104</v>
      </c>
      <c r="B13" s="29"/>
      <c r="C13" s="30"/>
      <c r="D13" s="152">
        <f>4*B5</f>
        <v>4</v>
      </c>
      <c r="E13" s="31">
        <f t="shared" ref="E13:E23" si="0">D13*C13</f>
        <v>0</v>
      </c>
      <c r="F13" s="18"/>
    </row>
    <row r="14" spans="1:13">
      <c r="A14" s="28" t="s">
        <v>301</v>
      </c>
      <c r="B14" s="29"/>
      <c r="C14" s="30"/>
      <c r="D14" s="152">
        <f>B5</f>
        <v>1</v>
      </c>
      <c r="E14" s="31">
        <f t="shared" si="0"/>
        <v>0</v>
      </c>
      <c r="F14" s="18"/>
    </row>
    <row r="15" spans="1:13">
      <c r="A15" s="28" t="s">
        <v>645</v>
      </c>
      <c r="B15" s="29"/>
      <c r="C15" s="30"/>
      <c r="D15" s="152">
        <f>(B3-0.002)*B5</f>
        <v>1.3979999999999999</v>
      </c>
      <c r="E15" s="31">
        <f t="shared" si="0"/>
        <v>0</v>
      </c>
      <c r="F15" s="18"/>
    </row>
    <row r="16" spans="1:13">
      <c r="A16" s="28" t="s">
        <v>14</v>
      </c>
      <c r="B16" s="29"/>
      <c r="C16" s="30"/>
      <c r="D16" s="152">
        <f>B3*B5</f>
        <v>1.4</v>
      </c>
      <c r="E16" s="31">
        <f t="shared" si="0"/>
        <v>0</v>
      </c>
      <c r="F16" s="18"/>
    </row>
    <row r="17" spans="1:6">
      <c r="A17" s="32" t="s">
        <v>15</v>
      </c>
      <c r="B17" s="33"/>
      <c r="C17" s="34"/>
      <c r="D17" s="152">
        <f>B5*2</f>
        <v>2</v>
      </c>
      <c r="E17" s="31">
        <f t="shared" si="0"/>
        <v>0</v>
      </c>
      <c r="F17" s="18"/>
    </row>
    <row r="18" spans="1:6">
      <c r="A18" s="28" t="s">
        <v>16</v>
      </c>
      <c r="B18" s="29"/>
      <c r="C18" s="30"/>
      <c r="D18" s="152">
        <f>(B4-0.04)*2*B5</f>
        <v>1.92</v>
      </c>
      <c r="E18" s="31">
        <f t="shared" si="0"/>
        <v>0</v>
      </c>
      <c r="F18" s="18"/>
    </row>
    <row r="19" spans="1:6">
      <c r="A19" s="28" t="s">
        <v>17</v>
      </c>
      <c r="B19" s="29"/>
      <c r="C19" s="30"/>
      <c r="D19" s="152">
        <f>(B3-0.015)*B5</f>
        <v>1.385</v>
      </c>
      <c r="E19" s="31">
        <f t="shared" si="0"/>
        <v>0</v>
      </c>
      <c r="F19" s="18"/>
    </row>
    <row r="20" spans="1:6">
      <c r="A20" s="28" t="s">
        <v>18</v>
      </c>
      <c r="B20" s="29"/>
      <c r="C20" s="30"/>
      <c r="D20" s="152">
        <f>B4*B5*2</f>
        <v>2</v>
      </c>
      <c r="E20" s="31">
        <f t="shared" si="0"/>
        <v>0</v>
      </c>
      <c r="F20" s="18"/>
    </row>
    <row r="21" spans="1:6">
      <c r="A21" s="28" t="s">
        <v>19</v>
      </c>
      <c r="B21" s="29"/>
      <c r="C21" s="35"/>
      <c r="D21" s="152">
        <f>B3*B5</f>
        <v>1.4</v>
      </c>
      <c r="E21" s="31">
        <f t="shared" si="0"/>
        <v>0</v>
      </c>
      <c r="F21" s="18"/>
    </row>
    <row r="22" spans="1:6">
      <c r="A22" s="28" t="s">
        <v>20</v>
      </c>
      <c r="B22" s="29"/>
      <c r="C22" s="35"/>
      <c r="D22" s="152">
        <f>B3*B5</f>
        <v>1.4</v>
      </c>
      <c r="E22" s="31">
        <f t="shared" si="0"/>
        <v>0</v>
      </c>
      <c r="F22" s="18"/>
    </row>
    <row r="23" spans="1:6">
      <c r="A23" s="28" t="s">
        <v>21</v>
      </c>
      <c r="B23" s="29"/>
      <c r="C23" s="30"/>
      <c r="D23" s="152">
        <f>B3*B5</f>
        <v>1.4</v>
      </c>
      <c r="E23" s="31">
        <f t="shared" si="0"/>
        <v>0</v>
      </c>
      <c r="F23" s="18"/>
    </row>
    <row r="24" spans="1:6">
      <c r="A24" s="28" t="s">
        <v>646</v>
      </c>
      <c r="B24" s="29"/>
      <c r="C24" s="30"/>
      <c r="D24" s="152">
        <f>B5</f>
        <v>1</v>
      </c>
      <c r="E24" s="31">
        <f>C24*D24</f>
        <v>0</v>
      </c>
      <c r="F24" s="18"/>
    </row>
    <row r="25" spans="1:6">
      <c r="A25" s="28" t="s">
        <v>650</v>
      </c>
      <c r="B25" s="29"/>
      <c r="C25" s="35"/>
      <c r="D25" s="152">
        <f>B8</f>
        <v>2</v>
      </c>
      <c r="E25" s="31">
        <f>D25*C25</f>
        <v>0</v>
      </c>
      <c r="F25" s="18"/>
    </row>
    <row r="26" spans="1:6">
      <c r="A26" s="28" t="s">
        <v>649</v>
      </c>
      <c r="B26" s="29"/>
      <c r="C26" s="35"/>
      <c r="D26" s="152">
        <f>B6</f>
        <v>10</v>
      </c>
      <c r="E26" s="31">
        <f>D26*C26</f>
        <v>0</v>
      </c>
      <c r="F26" s="18"/>
    </row>
    <row r="27" spans="1:6">
      <c r="A27" s="29" t="s">
        <v>647</v>
      </c>
      <c r="B27" s="369"/>
      <c r="C27" s="369"/>
      <c r="D27" s="369">
        <f>B7</f>
        <v>2</v>
      </c>
      <c r="E27" s="31">
        <f>D27*C27</f>
        <v>0</v>
      </c>
      <c r="F27" s="18"/>
    </row>
    <row r="28" spans="1:6">
      <c r="A28" s="21"/>
      <c r="B28" s="17"/>
      <c r="C28" s="17"/>
      <c r="D28" s="17"/>
      <c r="E28" s="41">
        <f>SUM(E13:E26)</f>
        <v>0</v>
      </c>
      <c r="F28" s="18"/>
    </row>
    <row r="29" spans="1:6">
      <c r="A29" s="21"/>
      <c r="B29" s="17"/>
      <c r="C29" s="17"/>
      <c r="D29" s="17"/>
      <c r="E29" s="17"/>
      <c r="F29" s="18"/>
    </row>
    <row r="30" spans="1:6" ht="12" thickBot="1">
      <c r="A30" s="23" t="s">
        <v>22</v>
      </c>
      <c r="B30" s="24"/>
      <c r="C30" s="24"/>
      <c r="D30" s="24"/>
      <c r="E30" s="17"/>
      <c r="F30" s="18"/>
    </row>
    <row r="31" spans="1:6">
      <c r="A31" s="42" t="s">
        <v>35</v>
      </c>
      <c r="B31" s="26"/>
      <c r="C31" s="26"/>
      <c r="D31" s="26"/>
      <c r="E31" s="16"/>
      <c r="F31" s="18"/>
    </row>
    <row r="32" spans="1:6">
      <c r="A32" s="28" t="s">
        <v>23</v>
      </c>
      <c r="B32" s="29"/>
      <c r="C32" s="30"/>
      <c r="D32" s="152">
        <f>B9</f>
        <v>50</v>
      </c>
      <c r="E32" s="31">
        <f>D32*C32</f>
        <v>0</v>
      </c>
      <c r="F32" s="18"/>
    </row>
    <row r="33" spans="1:6">
      <c r="A33" s="28" t="s">
        <v>24</v>
      </c>
      <c r="B33" s="29"/>
      <c r="C33" s="30"/>
      <c r="D33" s="152">
        <f>B3*B9</f>
        <v>70</v>
      </c>
      <c r="E33" s="31">
        <f>D33*C33</f>
        <v>0</v>
      </c>
      <c r="F33" s="18"/>
    </row>
    <row r="34" spans="1:6" ht="12" thickBot="1">
      <c r="A34" s="36" t="s">
        <v>25</v>
      </c>
      <c r="B34" s="37"/>
      <c r="C34" s="38"/>
      <c r="D34" s="39">
        <f>(B3+0.2)*B9</f>
        <v>80</v>
      </c>
      <c r="E34" s="40">
        <f>D34*C34</f>
        <v>0</v>
      </c>
      <c r="F34" s="18"/>
    </row>
    <row r="35" spans="1:6">
      <c r="A35" s="877" t="s">
        <v>26</v>
      </c>
      <c r="B35" s="878"/>
      <c r="C35" s="878"/>
      <c r="D35" s="879"/>
      <c r="E35" s="43">
        <f>SUM(E32:E34)+E28</f>
        <v>0</v>
      </c>
      <c r="F35" s="18"/>
    </row>
    <row r="36" spans="1:6">
      <c r="A36" s="46"/>
      <c r="B36" s="17"/>
      <c r="C36" s="17"/>
      <c r="D36" s="17"/>
      <c r="E36" s="41"/>
      <c r="F36" s="18"/>
    </row>
    <row r="37" spans="1:6" ht="15.75" thickBot="1">
      <c r="A37" s="47" t="s">
        <v>28</v>
      </c>
      <c r="B37" s="44"/>
      <c r="C37" s="44"/>
      <c r="D37" s="44"/>
      <c r="E37" s="44"/>
      <c r="F37" s="45"/>
    </row>
  </sheetData>
  <mergeCells count="3">
    <mergeCell ref="A1:D1"/>
    <mergeCell ref="H2:M3"/>
    <mergeCell ref="A35:D35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L32"/>
  <sheetViews>
    <sheetView zoomScale="115" workbookViewId="0">
      <selection activeCell="A30" sqref="A30:XFD30"/>
    </sheetView>
  </sheetViews>
  <sheetFormatPr defaultRowHeight="11.25"/>
  <cols>
    <col min="1" max="1" width="58.33203125" customWidth="1"/>
    <col min="2" max="2" width="10" bestFit="1" customWidth="1"/>
    <col min="3" max="3" width="8.5" bestFit="1" customWidth="1"/>
    <col min="4" max="4" width="7.33203125" customWidth="1"/>
    <col min="5" max="5" width="12.1640625" customWidth="1"/>
    <col min="6" max="6" width="3.83203125" customWidth="1"/>
  </cols>
  <sheetData>
    <row r="1" spans="1:12" ht="27" thickBot="1">
      <c r="A1" s="888" t="s">
        <v>173</v>
      </c>
      <c r="B1" s="889"/>
      <c r="C1" s="889"/>
      <c r="D1" s="889"/>
      <c r="E1" s="890"/>
    </row>
    <row r="2" spans="1:12" ht="15" thickBot="1">
      <c r="A2" s="891" t="s">
        <v>3</v>
      </c>
      <c r="B2" s="892"/>
      <c r="C2" s="892"/>
      <c r="D2" s="892"/>
      <c r="E2" s="893"/>
    </row>
    <row r="3" spans="1:12">
      <c r="A3" s="52" t="s">
        <v>6</v>
      </c>
      <c r="B3" s="380">
        <v>0.6</v>
      </c>
      <c r="C3" s="942" t="s">
        <v>30</v>
      </c>
      <c r="D3" s="895"/>
      <c r="E3" s="896"/>
      <c r="G3" s="871" t="s">
        <v>150</v>
      </c>
      <c r="H3" s="872"/>
      <c r="I3" s="872"/>
      <c r="J3" s="872"/>
      <c r="K3" s="872"/>
      <c r="L3" s="873"/>
    </row>
    <row r="4" spans="1:12" ht="12" thickBot="1">
      <c r="A4" s="53" t="s">
        <v>1</v>
      </c>
      <c r="B4" s="50">
        <v>1.6</v>
      </c>
      <c r="C4" s="943" t="s">
        <v>30</v>
      </c>
      <c r="D4" s="898"/>
      <c r="E4" s="899"/>
      <c r="G4" s="874"/>
      <c r="H4" s="875"/>
      <c r="I4" s="875"/>
      <c r="J4" s="875"/>
      <c r="K4" s="875"/>
      <c r="L4" s="876"/>
    </row>
    <row r="5" spans="1:12">
      <c r="A5" s="53" t="s">
        <v>36</v>
      </c>
      <c r="B5" s="50">
        <v>2</v>
      </c>
      <c r="C5" s="931" t="s">
        <v>37</v>
      </c>
      <c r="D5" s="901"/>
      <c r="E5" s="902"/>
    </row>
    <row r="6" spans="1:12">
      <c r="A6" s="53" t="s">
        <v>31</v>
      </c>
      <c r="B6" s="51">
        <v>1</v>
      </c>
      <c r="C6" s="931" t="s">
        <v>33</v>
      </c>
      <c r="D6" s="915"/>
      <c r="E6" s="916"/>
    </row>
    <row r="7" spans="1:12">
      <c r="A7" s="53" t="s">
        <v>177</v>
      </c>
      <c r="B7" s="51">
        <v>2</v>
      </c>
      <c r="C7" s="932" t="s">
        <v>178</v>
      </c>
      <c r="D7" s="933"/>
      <c r="E7" s="934"/>
    </row>
    <row r="8" spans="1:12" ht="24" customHeight="1">
      <c r="A8" s="56" t="s">
        <v>32</v>
      </c>
      <c r="B8" s="71">
        <v>2</v>
      </c>
      <c r="C8" s="935" t="s">
        <v>34</v>
      </c>
      <c r="D8" s="910"/>
      <c r="E8" s="911"/>
    </row>
    <row r="9" spans="1:12">
      <c r="A9" s="172" t="s">
        <v>53</v>
      </c>
      <c r="B9" s="173">
        <v>1</v>
      </c>
      <c r="C9" s="936" t="s">
        <v>30</v>
      </c>
      <c r="D9" s="937"/>
      <c r="E9" s="938"/>
    </row>
    <row r="10" spans="1:12">
      <c r="A10" s="199" t="s">
        <v>651</v>
      </c>
      <c r="B10" s="173">
        <v>1</v>
      </c>
      <c r="C10" s="939"/>
      <c r="D10" s="940"/>
      <c r="E10" s="941"/>
    </row>
    <row r="11" spans="1:12" ht="12" thickBot="1">
      <c r="A11" s="13" t="s">
        <v>648</v>
      </c>
      <c r="B11" s="70">
        <v>50</v>
      </c>
      <c r="C11" s="928"/>
      <c r="D11" s="929"/>
      <c r="E11" s="930"/>
    </row>
    <row r="12" spans="1:12" ht="12" thickBot="1"/>
    <row r="13" spans="1:12" ht="12.75">
      <c r="A13" s="381" t="s">
        <v>7</v>
      </c>
      <c r="B13" s="382" t="s">
        <v>85</v>
      </c>
      <c r="C13" s="382" t="s">
        <v>0</v>
      </c>
      <c r="D13" s="66" t="s">
        <v>4</v>
      </c>
      <c r="E13" s="383" t="s">
        <v>8</v>
      </c>
    </row>
    <row r="14" spans="1:12">
      <c r="A14" s="28" t="s">
        <v>658</v>
      </c>
      <c r="B14" s="377"/>
      <c r="C14" s="379">
        <f>(IF(B5=2,B3-0.031,B3+0.005))*B9</f>
        <v>0.56899999999999995</v>
      </c>
      <c r="D14" s="64"/>
      <c r="E14" s="68">
        <f t="shared" ref="E14:E27" si="0">C14*D14</f>
        <v>0</v>
      </c>
    </row>
    <row r="15" spans="1:12">
      <c r="A15" s="59" t="s">
        <v>112</v>
      </c>
      <c r="B15" s="377"/>
      <c r="C15" s="379">
        <f>2*B9</f>
        <v>2</v>
      </c>
      <c r="D15" s="64"/>
      <c r="E15" s="68">
        <f t="shared" si="0"/>
        <v>0</v>
      </c>
    </row>
    <row r="16" spans="1:12">
      <c r="A16" s="32" t="s">
        <v>108</v>
      </c>
      <c r="B16" s="377"/>
      <c r="C16" s="379">
        <f>(IF(B5=1,B3,B3-0.036))*B9</f>
        <v>0.56399999999999995</v>
      </c>
      <c r="D16" s="64"/>
      <c r="E16" s="68">
        <f t="shared" si="0"/>
        <v>0</v>
      </c>
    </row>
    <row r="17" spans="1:5">
      <c r="A17" s="28" t="s">
        <v>50</v>
      </c>
      <c r="B17" s="377"/>
      <c r="C17" s="379">
        <f>C14</f>
        <v>0.56899999999999995</v>
      </c>
      <c r="D17" s="64"/>
      <c r="E17" s="68">
        <f t="shared" si="0"/>
        <v>0</v>
      </c>
    </row>
    <row r="18" spans="1:5">
      <c r="A18" s="28" t="s">
        <v>49</v>
      </c>
      <c r="B18" s="377"/>
      <c r="C18" s="379">
        <f>C16</f>
        <v>0.56399999999999995</v>
      </c>
      <c r="D18" s="64"/>
      <c r="E18" s="68">
        <f t="shared" si="0"/>
        <v>0</v>
      </c>
    </row>
    <row r="19" spans="1:5">
      <c r="A19" s="59" t="s">
        <v>113</v>
      </c>
      <c r="B19" s="377"/>
      <c r="C19" s="378">
        <f>B3*B9</f>
        <v>0.6</v>
      </c>
      <c r="D19" s="378"/>
      <c r="E19" s="184">
        <f t="shared" si="0"/>
        <v>0</v>
      </c>
    </row>
    <row r="20" spans="1:5">
      <c r="A20" s="59" t="s">
        <v>114</v>
      </c>
      <c r="B20" s="377"/>
      <c r="C20" s="378">
        <f>B9*2</f>
        <v>2</v>
      </c>
      <c r="D20" s="378"/>
      <c r="E20" s="184">
        <f t="shared" si="0"/>
        <v>0</v>
      </c>
    </row>
    <row r="21" spans="1:5">
      <c r="A21" s="120" t="s">
        <v>40</v>
      </c>
      <c r="B21" s="377"/>
      <c r="C21" s="379">
        <f>(IF(B6=1,B4*2+0.2,0))*B9</f>
        <v>3.4000000000000004</v>
      </c>
      <c r="D21" s="64"/>
      <c r="E21" s="68">
        <f t="shared" si="0"/>
        <v>0</v>
      </c>
    </row>
    <row r="22" spans="1:5">
      <c r="A22" s="121" t="s">
        <v>175</v>
      </c>
      <c r="B22" s="377"/>
      <c r="C22" s="379">
        <f>(IF(B6=1,2,0))*B9</f>
        <v>2</v>
      </c>
      <c r="D22" s="64"/>
      <c r="E22" s="68">
        <f t="shared" si="0"/>
        <v>0</v>
      </c>
    </row>
    <row r="23" spans="1:5">
      <c r="A23" s="59" t="s">
        <v>111</v>
      </c>
      <c r="B23" s="377"/>
      <c r="C23" s="379">
        <f>(IF(B8=3,2,0))*B9</f>
        <v>0</v>
      </c>
      <c r="D23" s="64"/>
      <c r="E23" s="68">
        <f t="shared" si="0"/>
        <v>0</v>
      </c>
    </row>
    <row r="24" spans="1:5">
      <c r="A24" s="59" t="s">
        <v>110</v>
      </c>
      <c r="B24" s="377"/>
      <c r="C24" s="379">
        <f>(IF(B8=3,2,0))*B9</f>
        <v>0</v>
      </c>
      <c r="D24" s="64"/>
      <c r="E24" s="68">
        <f t="shared" si="0"/>
        <v>0</v>
      </c>
    </row>
    <row r="25" spans="1:5">
      <c r="A25" s="121" t="s">
        <v>176</v>
      </c>
      <c r="B25" s="377"/>
      <c r="C25" s="379">
        <f>(IF(B8=3,(IF(B7=2,2,0)),0))*B9</f>
        <v>0</v>
      </c>
      <c r="D25" s="64"/>
      <c r="E25" s="68"/>
    </row>
    <row r="26" spans="1:5">
      <c r="A26" s="121" t="s">
        <v>174</v>
      </c>
      <c r="B26" s="377"/>
      <c r="C26" s="379">
        <f>(IF(B8=2,2,0))*B9</f>
        <v>2</v>
      </c>
      <c r="D26" s="64"/>
      <c r="E26" s="68">
        <f t="shared" si="0"/>
        <v>0</v>
      </c>
    </row>
    <row r="27" spans="1:5">
      <c r="A27" s="59" t="s">
        <v>109</v>
      </c>
      <c r="B27" s="377"/>
      <c r="C27" s="379">
        <f>(IF(B8=2,2,0))*B9</f>
        <v>2</v>
      </c>
      <c r="D27" s="64"/>
      <c r="E27" s="68">
        <f t="shared" si="0"/>
        <v>0</v>
      </c>
    </row>
    <row r="28" spans="1:5">
      <c r="A28" s="59" t="s">
        <v>303</v>
      </c>
      <c r="B28" s="377"/>
      <c r="C28" s="379">
        <f>B9</f>
        <v>1</v>
      </c>
      <c r="D28" s="64"/>
      <c r="E28" s="68">
        <f>C28*D28</f>
        <v>0</v>
      </c>
    </row>
    <row r="29" spans="1:5">
      <c r="A29" s="28" t="s">
        <v>646</v>
      </c>
      <c r="B29" s="29"/>
      <c r="C29" s="169">
        <f>B9</f>
        <v>1</v>
      </c>
      <c r="D29" s="108"/>
      <c r="E29" s="175">
        <f>D29*C29</f>
        <v>0</v>
      </c>
    </row>
    <row r="30" spans="1:5">
      <c r="A30" s="166" t="s">
        <v>659</v>
      </c>
      <c r="B30" s="157"/>
      <c r="C30" s="170">
        <f>B10</f>
        <v>1</v>
      </c>
      <c r="D30" s="159"/>
      <c r="E30" s="176">
        <f>C30*D30</f>
        <v>0</v>
      </c>
    </row>
    <row r="31" spans="1:5" ht="12" thickBot="1">
      <c r="A31" s="28" t="s">
        <v>649</v>
      </c>
      <c r="B31" s="167"/>
      <c r="C31" s="171">
        <f>B11</f>
        <v>50</v>
      </c>
      <c r="D31" s="168"/>
      <c r="E31" s="177">
        <f>D31*C31</f>
        <v>0</v>
      </c>
    </row>
    <row r="32" spans="1:5">
      <c r="D32" s="3" t="s">
        <v>9</v>
      </c>
      <c r="E32" s="3">
        <f>SUM(E14:E31)</f>
        <v>0</v>
      </c>
    </row>
  </sheetData>
  <mergeCells count="12">
    <mergeCell ref="C5:E5"/>
    <mergeCell ref="A1:E1"/>
    <mergeCell ref="A2:E2"/>
    <mergeCell ref="C3:E3"/>
    <mergeCell ref="G3:L4"/>
    <mergeCell ref="C4:E4"/>
    <mergeCell ref="C11:E11"/>
    <mergeCell ref="C6:E6"/>
    <mergeCell ref="C7:E7"/>
    <mergeCell ref="C8:E8"/>
    <mergeCell ref="C9:E9"/>
    <mergeCell ref="C10:E10"/>
  </mergeCell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L52"/>
  <sheetViews>
    <sheetView zoomScale="115" workbookViewId="0">
      <selection activeCell="B51" sqref="B50:B51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3.5" bestFit="1" customWidth="1"/>
    <col min="6" max="6" width="3.83203125" customWidth="1"/>
    <col min="8" max="8" width="21.1640625" customWidth="1"/>
  </cols>
  <sheetData>
    <row r="1" spans="1:12" ht="27" thickBot="1">
      <c r="A1" s="888" t="s">
        <v>231</v>
      </c>
      <c r="B1" s="889"/>
      <c r="C1" s="889"/>
      <c r="D1" s="889"/>
      <c r="E1" s="890"/>
    </row>
    <row r="2" spans="1:12" ht="15" thickBot="1">
      <c r="A2" s="891" t="s">
        <v>3</v>
      </c>
      <c r="B2" s="892"/>
      <c r="C2" s="892"/>
      <c r="D2" s="892"/>
      <c r="E2" s="893"/>
      <c r="G2" s="871" t="s">
        <v>150</v>
      </c>
      <c r="H2" s="872"/>
      <c r="I2" s="872"/>
      <c r="J2" s="872"/>
      <c r="K2" s="872"/>
      <c r="L2" s="873"/>
    </row>
    <row r="3" spans="1:12" ht="12" thickBot="1">
      <c r="A3" s="52" t="s">
        <v>6</v>
      </c>
      <c r="B3" s="49">
        <v>3</v>
      </c>
      <c r="C3" s="942" t="s">
        <v>30</v>
      </c>
      <c r="D3" s="895"/>
      <c r="E3" s="896"/>
      <c r="G3" s="874"/>
      <c r="H3" s="875"/>
      <c r="I3" s="875"/>
      <c r="J3" s="875"/>
      <c r="K3" s="875"/>
      <c r="L3" s="876"/>
    </row>
    <row r="4" spans="1:12">
      <c r="A4" s="53" t="s">
        <v>1</v>
      </c>
      <c r="B4" s="85">
        <v>1</v>
      </c>
      <c r="C4" s="952" t="s">
        <v>30</v>
      </c>
      <c r="D4" s="947"/>
      <c r="E4" s="948"/>
    </row>
    <row r="5" spans="1:12">
      <c r="A5" s="53" t="s">
        <v>60</v>
      </c>
      <c r="B5" s="85">
        <v>25</v>
      </c>
      <c r="C5" s="946" t="s">
        <v>61</v>
      </c>
      <c r="D5" s="953"/>
      <c r="E5" s="954"/>
    </row>
    <row r="6" spans="1:12">
      <c r="A6" s="53" t="s">
        <v>55</v>
      </c>
      <c r="B6" s="55">
        <v>0</v>
      </c>
      <c r="C6" s="944" t="s">
        <v>33</v>
      </c>
      <c r="D6" s="925"/>
      <c r="E6" s="945"/>
      <c r="H6" s="87"/>
      <c r="I6" s="87"/>
      <c r="J6" s="87"/>
    </row>
    <row r="7" spans="1:12">
      <c r="A7" s="54" t="s">
        <v>59</v>
      </c>
      <c r="B7" s="86">
        <v>0</v>
      </c>
      <c r="C7" s="946" t="s">
        <v>33</v>
      </c>
      <c r="D7" s="947"/>
      <c r="E7" s="948"/>
      <c r="H7" s="87"/>
      <c r="I7" s="87"/>
      <c r="J7" s="87"/>
    </row>
    <row r="8" spans="1:12">
      <c r="A8" s="54" t="s">
        <v>56</v>
      </c>
      <c r="B8" s="86">
        <v>0</v>
      </c>
      <c r="C8" s="946" t="s">
        <v>33</v>
      </c>
      <c r="D8" s="947"/>
      <c r="E8" s="948"/>
      <c r="H8" s="88"/>
      <c r="I8" s="87"/>
      <c r="J8" s="87"/>
    </row>
    <row r="9" spans="1:12">
      <c r="A9" s="54" t="s">
        <v>57</v>
      </c>
      <c r="B9" s="105">
        <v>1</v>
      </c>
      <c r="C9" s="944" t="s">
        <v>33</v>
      </c>
      <c r="D9" s="925"/>
      <c r="E9" s="945"/>
      <c r="H9" s="87"/>
      <c r="I9" s="87"/>
      <c r="J9" s="87"/>
    </row>
    <row r="10" spans="1:12">
      <c r="A10" s="54" t="s">
        <v>232</v>
      </c>
      <c r="B10" s="105">
        <v>1</v>
      </c>
      <c r="C10" s="964"/>
      <c r="D10" s="965"/>
      <c r="E10" s="966"/>
      <c r="H10" s="87"/>
      <c r="I10" s="87"/>
      <c r="J10" s="87"/>
    </row>
    <row r="11" spans="1:12">
      <c r="A11" s="172" t="s">
        <v>53</v>
      </c>
      <c r="B11" s="208">
        <v>1</v>
      </c>
      <c r="C11" s="961" t="s">
        <v>30</v>
      </c>
      <c r="D11" s="962"/>
      <c r="E11" s="963"/>
      <c r="H11" s="87"/>
      <c r="I11" s="87"/>
      <c r="J11" s="87"/>
    </row>
    <row r="12" spans="1:12">
      <c r="A12" s="199" t="s">
        <v>227</v>
      </c>
      <c r="B12" s="208">
        <v>1</v>
      </c>
      <c r="C12" s="209"/>
      <c r="D12" s="209"/>
      <c r="E12" s="210"/>
      <c r="H12" s="87"/>
      <c r="I12" s="87"/>
      <c r="J12" s="87"/>
    </row>
    <row r="13" spans="1:12">
      <c r="A13" s="199" t="s">
        <v>202</v>
      </c>
      <c r="B13" s="208">
        <v>2</v>
      </c>
      <c r="C13" s="209"/>
      <c r="D13" s="209"/>
      <c r="E13" s="210"/>
      <c r="H13" s="87"/>
      <c r="I13" s="87"/>
      <c r="J13" s="87"/>
    </row>
    <row r="14" spans="1:12" ht="12" thickBot="1">
      <c r="A14" s="174" t="s">
        <v>205</v>
      </c>
      <c r="B14" s="106">
        <v>3</v>
      </c>
      <c r="C14" s="955"/>
      <c r="D14" s="956"/>
      <c r="E14" s="957"/>
      <c r="H14" s="87"/>
      <c r="I14" s="87"/>
      <c r="J14" s="87"/>
    </row>
    <row r="15" spans="1:12">
      <c r="A15" s="72" t="s">
        <v>62</v>
      </c>
      <c r="B15" s="73">
        <f>IF(B5=25,IF(B3&lt;0.806,2,IF(B3&lt;1.3,3,IF(B3&lt;1.801,4,IF(B3&lt;2.301,5,IF(B3&lt;2.801,6,7))))),IF(B3&lt;=0.55,2,IF(B3&lt;=0.9,3,IF(B3&lt;=1.25,4,IF(B3&lt;=1.6,5,IF(B3&lt;=1.95,6,7))))))</f>
        <v>7</v>
      </c>
      <c r="C15" s="958" t="s">
        <v>29</v>
      </c>
      <c r="D15" s="959"/>
      <c r="E15" s="960"/>
      <c r="G15" s="89"/>
      <c r="H15" s="87"/>
      <c r="I15" s="87"/>
      <c r="J15" s="87"/>
    </row>
    <row r="16" spans="1:12" ht="12" thickBot="1">
      <c r="H16" s="87"/>
      <c r="I16" s="87"/>
      <c r="J16" s="87"/>
    </row>
    <row r="17" spans="1:10" ht="13.5" thickBot="1">
      <c r="A17" s="74" t="s">
        <v>7</v>
      </c>
      <c r="B17" s="75" t="s">
        <v>0</v>
      </c>
      <c r="C17" s="76" t="s">
        <v>4</v>
      </c>
      <c r="D17" s="77" t="s">
        <v>8</v>
      </c>
      <c r="H17" s="87"/>
      <c r="I17" s="87"/>
      <c r="J17" s="87"/>
    </row>
    <row r="18" spans="1:10">
      <c r="A18" s="94" t="s">
        <v>65</v>
      </c>
      <c r="B18" s="95">
        <f>(IF(B15=2,((B4+0.3)*2),IF(B15=3,((B4+0.3)*2),IF(B15=4,((B4+0.3)*4),IF(B15=5,((B4+0.3)*3),((B4+0.3)*4))))))*B11</f>
        <v>5.2</v>
      </c>
      <c r="C18" s="58"/>
      <c r="D18" s="193">
        <f t="shared" ref="D18:D47" si="0">B18*C18</f>
        <v>0</v>
      </c>
      <c r="H18" s="87"/>
      <c r="I18" s="87"/>
      <c r="J18" s="87"/>
    </row>
    <row r="19" spans="1:10">
      <c r="A19" s="96" t="s">
        <v>66</v>
      </c>
      <c r="B19" s="98">
        <f>IF(B8=1,2*B11,0)</f>
        <v>0</v>
      </c>
      <c r="C19" s="64"/>
      <c r="D19" s="80">
        <f t="shared" si="0"/>
        <v>0</v>
      </c>
    </row>
    <row r="20" spans="1:10">
      <c r="A20" s="96" t="s">
        <v>67</v>
      </c>
      <c r="B20" s="98">
        <f>B15*B11</f>
        <v>7</v>
      </c>
      <c r="C20" s="64"/>
      <c r="D20" s="80">
        <f t="shared" si="0"/>
        <v>0</v>
      </c>
    </row>
    <row r="21" spans="1:10">
      <c r="A21" s="213" t="s">
        <v>228</v>
      </c>
      <c r="B21" s="98">
        <f>B15*B11</f>
        <v>7</v>
      </c>
      <c r="C21" s="64"/>
      <c r="D21" s="80">
        <f t="shared" si="0"/>
        <v>0</v>
      </c>
    </row>
    <row r="22" spans="1:10">
      <c r="A22" s="96" t="s">
        <v>68</v>
      </c>
      <c r="B22" s="98">
        <f>(B3-0.002)*B11</f>
        <v>2.9980000000000002</v>
      </c>
      <c r="C22" s="64"/>
      <c r="D22" s="80">
        <f t="shared" si="0"/>
        <v>0</v>
      </c>
    </row>
    <row r="23" spans="1:10">
      <c r="A23" s="99" t="s">
        <v>69</v>
      </c>
      <c r="B23" s="98">
        <f>B22</f>
        <v>2.9980000000000002</v>
      </c>
      <c r="C23" s="64"/>
      <c r="D23" s="80">
        <f t="shared" si="0"/>
        <v>0</v>
      </c>
    </row>
    <row r="24" spans="1:10">
      <c r="A24" s="99" t="s">
        <v>70</v>
      </c>
      <c r="B24" s="98">
        <f>IF(B5=16,B11*B15,0)</f>
        <v>0</v>
      </c>
      <c r="C24" s="64"/>
      <c r="D24" s="80">
        <f t="shared" si="0"/>
        <v>0</v>
      </c>
      <c r="G24" s="89"/>
    </row>
    <row r="25" spans="1:10">
      <c r="A25" s="99" t="s">
        <v>71</v>
      </c>
      <c r="B25" s="98">
        <f>IF(B5=25,B11*B15,0)</f>
        <v>7</v>
      </c>
      <c r="C25" s="64"/>
      <c r="D25" s="80">
        <f>B25*C25</f>
        <v>0</v>
      </c>
      <c r="G25" s="89"/>
    </row>
    <row r="26" spans="1:10">
      <c r="A26" s="99" t="s">
        <v>72</v>
      </c>
      <c r="B26" s="98">
        <f>(IF(B3&lt;1.5,2,IF(B3&lt;1.8,3,IF(B3&lt;2.3,4,IF(B3&lt;2.8,5,6)))))*B11</f>
        <v>6</v>
      </c>
      <c r="C26" s="64"/>
      <c r="D26" s="80">
        <f t="shared" si="0"/>
        <v>0</v>
      </c>
    </row>
    <row r="27" spans="1:10">
      <c r="A27" s="99" t="s">
        <v>73</v>
      </c>
      <c r="B27" s="98">
        <f>(IF(B9=0,0,IF(B3&lt;1.5,2,IF(B3&lt;1.8,3,IF(B3&lt;2.3,4,IF(B3&lt;2.8,5,6))))))*B11</f>
        <v>6</v>
      </c>
      <c r="C27" s="64"/>
      <c r="D27" s="80">
        <f t="shared" si="0"/>
        <v>0</v>
      </c>
    </row>
    <row r="28" spans="1:10">
      <c r="A28" s="100" t="s">
        <v>74</v>
      </c>
      <c r="B28" s="90">
        <f>2*B11</f>
        <v>2</v>
      </c>
      <c r="C28" s="64"/>
      <c r="D28" s="80">
        <f t="shared" si="0"/>
        <v>0</v>
      </c>
    </row>
    <row r="29" spans="1:10">
      <c r="A29" s="100" t="s">
        <v>75</v>
      </c>
      <c r="B29" s="90">
        <f>B28</f>
        <v>2</v>
      </c>
      <c r="C29" s="64"/>
      <c r="D29" s="80">
        <f t="shared" si="0"/>
        <v>0</v>
      </c>
    </row>
    <row r="30" spans="1:10">
      <c r="A30" s="214" t="s">
        <v>597</v>
      </c>
      <c r="B30" s="90">
        <f>(IF(B5=25,IF(B9=1,CEILING(((B4-0.025)/0.0215)*B3,1)+B3*2,CEILING(((B4-0.025)/0.0215)*B3,1)),IF(B9=1,CEILING(((B4-0.025)/0.0125)*B3,1)+B3*2,CEILING(((B4-0.025)/0.0125)*B3,1)))+0.2)*B11</f>
        <v>143.19999999999999</v>
      </c>
      <c r="C30" s="64"/>
      <c r="D30" s="80">
        <f t="shared" si="0"/>
        <v>0</v>
      </c>
    </row>
    <row r="31" spans="1:10">
      <c r="A31" s="101" t="s">
        <v>76</v>
      </c>
      <c r="B31" s="90">
        <f>IF(B5=16,(B15*(B4+0.12))*B11,0)</f>
        <v>0</v>
      </c>
      <c r="C31" s="64"/>
      <c r="D31" s="80">
        <f t="shared" si="0"/>
        <v>0</v>
      </c>
      <c r="G31" s="89"/>
    </row>
    <row r="32" spans="1:10">
      <c r="A32" s="100" t="s">
        <v>77</v>
      </c>
      <c r="B32" s="90">
        <f>IF(B5=25,(B15*(B4+0.3))*B11,0)</f>
        <v>9.1</v>
      </c>
      <c r="C32" s="64"/>
      <c r="D32" s="80">
        <f t="shared" si="0"/>
        <v>0</v>
      </c>
      <c r="G32" s="89"/>
    </row>
    <row r="33" spans="1:5">
      <c r="A33" s="214" t="s">
        <v>229</v>
      </c>
      <c r="B33" s="90">
        <f>(B3)*B11</f>
        <v>3</v>
      </c>
      <c r="C33" s="64"/>
      <c r="D33" s="80">
        <f t="shared" si="0"/>
        <v>0</v>
      </c>
    </row>
    <row r="34" spans="1:5">
      <c r="A34" s="214" t="s">
        <v>236</v>
      </c>
      <c r="B34" s="90">
        <f>IF(B10&gt;0,(IF(B3&lt;1.5,2,IF(B3&lt;1.8,3,IF(B3&lt;2.3,4,IF(B3&lt;2.8,5,6)))))*B10,0)</f>
        <v>6</v>
      </c>
      <c r="C34" s="64"/>
      <c r="D34" s="211">
        <f>B34*C34</f>
        <v>0</v>
      </c>
    </row>
    <row r="35" spans="1:5">
      <c r="A35" s="214" t="s">
        <v>237</v>
      </c>
      <c r="B35" s="90">
        <f>B11-B12</f>
        <v>0</v>
      </c>
      <c r="C35" s="64"/>
      <c r="D35" s="211">
        <f>B35*C35</f>
        <v>0</v>
      </c>
    </row>
    <row r="36" spans="1:5">
      <c r="A36" s="214" t="s">
        <v>304</v>
      </c>
      <c r="B36" s="90">
        <f>B12</f>
        <v>1</v>
      </c>
      <c r="C36" s="64"/>
      <c r="D36" s="211">
        <f>B36*C36</f>
        <v>0</v>
      </c>
    </row>
    <row r="37" spans="1:5">
      <c r="A37" s="214" t="s">
        <v>239</v>
      </c>
      <c r="B37" s="90">
        <f>B11-B12</f>
        <v>0</v>
      </c>
      <c r="C37" s="64"/>
      <c r="D37" s="211">
        <f>B37*C37</f>
        <v>0</v>
      </c>
    </row>
    <row r="38" spans="1:5">
      <c r="A38" s="213" t="s">
        <v>230</v>
      </c>
      <c r="B38" s="90">
        <f>B15*B11</f>
        <v>7</v>
      </c>
      <c r="C38" s="64"/>
      <c r="D38" s="80">
        <f t="shared" si="0"/>
        <v>0</v>
      </c>
    </row>
    <row r="39" spans="1:5">
      <c r="A39" s="213" t="s">
        <v>240</v>
      </c>
      <c r="B39" s="90">
        <f>B11*2+(B11-B12)*2</f>
        <v>2</v>
      </c>
      <c r="C39" s="64"/>
      <c r="D39" s="80">
        <f t="shared" si="0"/>
        <v>0</v>
      </c>
    </row>
    <row r="40" spans="1:5">
      <c r="A40" s="213" t="s">
        <v>241</v>
      </c>
      <c r="B40" s="90">
        <f>B11*2</f>
        <v>2</v>
      </c>
      <c r="C40" s="64"/>
      <c r="D40" s="211">
        <f>B40*C40</f>
        <v>0</v>
      </c>
    </row>
    <row r="41" spans="1:5">
      <c r="A41" s="166" t="s">
        <v>233</v>
      </c>
      <c r="B41" s="90">
        <f>B13</f>
        <v>2</v>
      </c>
      <c r="C41" s="64"/>
      <c r="D41" s="211">
        <f>B41*C41</f>
        <v>0</v>
      </c>
    </row>
    <row r="42" spans="1:5">
      <c r="A42" s="166" t="s">
        <v>242</v>
      </c>
      <c r="B42" s="91">
        <f>B11</f>
        <v>1</v>
      </c>
      <c r="C42" s="78"/>
      <c r="D42" s="211">
        <f>B42*C42</f>
        <v>0</v>
      </c>
    </row>
    <row r="43" spans="1:5" ht="12" thickBot="1">
      <c r="A43" s="36" t="s">
        <v>243</v>
      </c>
      <c r="B43" s="212">
        <f>B14</f>
        <v>3</v>
      </c>
      <c r="C43" s="60"/>
      <c r="D43" s="211">
        <f>B43*C43</f>
        <v>0</v>
      </c>
    </row>
    <row r="44" spans="1:5" ht="12.75" customHeight="1">
      <c r="A44" s="102" t="s">
        <v>78</v>
      </c>
      <c r="B44" s="92">
        <f>IF(B6=1,4*B11,0)</f>
        <v>0</v>
      </c>
      <c r="C44" s="79"/>
      <c r="D44" s="82">
        <f t="shared" si="0"/>
        <v>0</v>
      </c>
      <c r="E44" s="949" t="s">
        <v>54</v>
      </c>
    </row>
    <row r="45" spans="1:5" ht="13.5" customHeight="1">
      <c r="A45" s="100" t="s">
        <v>79</v>
      </c>
      <c r="B45" s="90">
        <f>IF(B7=1,0,IF(B6=1,2*B11,0))</f>
        <v>0</v>
      </c>
      <c r="C45" s="64"/>
      <c r="D45" s="81">
        <f t="shared" si="0"/>
        <v>0</v>
      </c>
      <c r="E45" s="950"/>
    </row>
    <row r="46" spans="1:5">
      <c r="A46" s="100" t="s">
        <v>80</v>
      </c>
      <c r="B46" s="90">
        <f>IF(B6=1,B11*2,0)</f>
        <v>0</v>
      </c>
      <c r="C46" s="64"/>
      <c r="D46" s="81">
        <f t="shared" si="0"/>
        <v>0</v>
      </c>
      <c r="E46" s="950"/>
    </row>
    <row r="47" spans="1:5" ht="14.25" customHeight="1" thickBot="1">
      <c r="A47" s="103" t="s">
        <v>81</v>
      </c>
      <c r="B47" s="91">
        <f>IF(B6=1,(B4*2+0.2)*B11,0)</f>
        <v>0</v>
      </c>
      <c r="C47" s="78"/>
      <c r="D47" s="81">
        <f t="shared" si="0"/>
        <v>0</v>
      </c>
      <c r="E47" s="951"/>
    </row>
    <row r="48" spans="1:5">
      <c r="A48" s="102" t="s">
        <v>82</v>
      </c>
      <c r="B48" s="92">
        <f>IF(B7=1,2*B11,0)</f>
        <v>0</v>
      </c>
      <c r="C48" s="79"/>
      <c r="D48" s="83">
        <f>B48*C48</f>
        <v>0</v>
      </c>
      <c r="E48" s="949" t="s">
        <v>58</v>
      </c>
    </row>
    <row r="49" spans="1:5">
      <c r="A49" s="100" t="s">
        <v>83</v>
      </c>
      <c r="B49" s="90">
        <f>IF(B7=1,IF(B6=1,2*B11,0),0)</f>
        <v>0</v>
      </c>
      <c r="C49" s="64"/>
      <c r="D49" s="194">
        <f>B49*C49</f>
        <v>0</v>
      </c>
      <c r="E49" s="950"/>
    </row>
    <row r="50" spans="1:5">
      <c r="A50" s="100" t="s">
        <v>64</v>
      </c>
      <c r="B50" s="90">
        <f>B48</f>
        <v>0</v>
      </c>
      <c r="C50" s="64"/>
      <c r="D50" s="194">
        <f>B50*C50</f>
        <v>0</v>
      </c>
      <c r="E50" s="950"/>
    </row>
    <row r="51" spans="1:5" ht="12" thickBot="1">
      <c r="A51" s="104" t="s">
        <v>63</v>
      </c>
      <c r="B51" s="93">
        <f>IF(B7=1,B11,0)</f>
        <v>0</v>
      </c>
      <c r="C51" s="69"/>
      <c r="D51" s="84">
        <f>B51*C51</f>
        <v>0</v>
      </c>
      <c r="E51" s="951"/>
    </row>
    <row r="52" spans="1:5">
      <c r="C52" s="3" t="s">
        <v>9</v>
      </c>
      <c r="D52" s="3">
        <f>SUM(D18:D39)</f>
        <v>0</v>
      </c>
    </row>
  </sheetData>
  <mergeCells count="16">
    <mergeCell ref="G2:L3"/>
    <mergeCell ref="C6:E6"/>
    <mergeCell ref="C7:E7"/>
    <mergeCell ref="E48:E51"/>
    <mergeCell ref="A1:E1"/>
    <mergeCell ref="A2:E2"/>
    <mergeCell ref="C3:E3"/>
    <mergeCell ref="C4:E4"/>
    <mergeCell ref="E44:E47"/>
    <mergeCell ref="C8:E8"/>
    <mergeCell ref="C5:E5"/>
    <mergeCell ref="C14:E14"/>
    <mergeCell ref="C9:E9"/>
    <mergeCell ref="C15:E15"/>
    <mergeCell ref="C11:E11"/>
    <mergeCell ref="C10:E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J43"/>
  <sheetViews>
    <sheetView zoomScale="115" workbookViewId="0">
      <selection activeCell="A28" sqref="A28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3.83203125" customWidth="1"/>
    <col min="7" max="7" width="40.5" bestFit="1" customWidth="1"/>
  </cols>
  <sheetData>
    <row r="1" spans="1:10" ht="27" thickBot="1">
      <c r="A1" s="888" t="s">
        <v>84</v>
      </c>
      <c r="B1" s="889"/>
      <c r="C1" s="889"/>
      <c r="D1" s="890"/>
    </row>
    <row r="2" spans="1:10" ht="15" thickBot="1">
      <c r="A2" s="891" t="s">
        <v>3</v>
      </c>
      <c r="B2" s="892"/>
      <c r="C2" s="892"/>
      <c r="D2" s="893"/>
    </row>
    <row r="3" spans="1:10">
      <c r="A3" s="52" t="s">
        <v>6</v>
      </c>
      <c r="B3" s="49">
        <v>0.82</v>
      </c>
      <c r="C3" s="942" t="s">
        <v>30</v>
      </c>
      <c r="D3" s="896"/>
    </row>
    <row r="4" spans="1:10">
      <c r="A4" s="53" t="s">
        <v>1</v>
      </c>
      <c r="B4" s="85">
        <v>1.42</v>
      </c>
      <c r="C4" s="952" t="s">
        <v>30</v>
      </c>
      <c r="D4" s="948"/>
    </row>
    <row r="5" spans="1:10">
      <c r="A5" s="53" t="s">
        <v>55</v>
      </c>
      <c r="B5" s="85">
        <v>1</v>
      </c>
      <c r="C5" s="946" t="s">
        <v>33</v>
      </c>
      <c r="D5" s="948"/>
      <c r="G5" s="87"/>
      <c r="H5" s="87"/>
      <c r="I5" s="87"/>
    </row>
    <row r="6" spans="1:10">
      <c r="A6" s="54" t="s">
        <v>56</v>
      </c>
      <c r="B6" s="105">
        <v>1</v>
      </c>
      <c r="C6" s="944" t="s">
        <v>33</v>
      </c>
      <c r="D6" s="945"/>
      <c r="G6" s="88"/>
      <c r="H6" s="87"/>
      <c r="I6" s="87"/>
    </row>
    <row r="7" spans="1:10">
      <c r="A7" s="54" t="s">
        <v>57</v>
      </c>
      <c r="B7" s="86">
        <v>1</v>
      </c>
      <c r="C7" s="946" t="s">
        <v>33</v>
      </c>
      <c r="D7" s="948"/>
      <c r="G7" s="87"/>
      <c r="H7" s="87"/>
      <c r="I7" s="87"/>
    </row>
    <row r="8" spans="1:10">
      <c r="A8" s="226" t="s">
        <v>53</v>
      </c>
      <c r="B8" s="57">
        <v>25</v>
      </c>
      <c r="C8" s="971" t="s">
        <v>30</v>
      </c>
      <c r="D8" s="972"/>
      <c r="G8" s="87"/>
      <c r="H8" s="87"/>
      <c r="I8" s="87"/>
    </row>
    <row r="9" spans="1:10">
      <c r="A9" s="225" t="s">
        <v>227</v>
      </c>
      <c r="B9" s="227">
        <v>1</v>
      </c>
      <c r="C9" s="228"/>
      <c r="D9" s="228"/>
      <c r="E9" s="223"/>
      <c r="H9" s="87"/>
      <c r="I9" s="87"/>
      <c r="J9" s="87"/>
    </row>
    <row r="10" spans="1:10">
      <c r="A10" s="199" t="s">
        <v>202</v>
      </c>
      <c r="B10" s="208">
        <v>2</v>
      </c>
      <c r="C10" s="209"/>
      <c r="D10" s="209"/>
      <c r="E10" s="223"/>
      <c r="H10" s="87"/>
      <c r="I10" s="87"/>
      <c r="J10" s="87"/>
    </row>
    <row r="11" spans="1:10" ht="12" thickBot="1">
      <c r="A11" s="174" t="s">
        <v>205</v>
      </c>
      <c r="B11" s="106">
        <v>3</v>
      </c>
      <c r="C11" s="221"/>
      <c r="D11" s="222"/>
      <c r="E11" s="224"/>
      <c r="H11" s="87"/>
      <c r="I11" s="87"/>
      <c r="J11" s="87"/>
    </row>
    <row r="12" spans="1:10">
      <c r="A12" s="110" t="s">
        <v>87</v>
      </c>
      <c r="B12" s="109">
        <f>IF(B3&lt;=0.69,2,IF(B3&lt;=1.08,3,IF(B3&lt;=1.47,4,IF(B3&lt;=1.86,5,6))))</f>
        <v>3</v>
      </c>
      <c r="C12" s="907" t="s">
        <v>29</v>
      </c>
      <c r="D12" s="907"/>
      <c r="F12" s="89"/>
      <c r="G12" s="87"/>
      <c r="H12" s="87"/>
      <c r="I12" s="87"/>
    </row>
    <row r="13" spans="1:10">
      <c r="A13" s="110" t="s">
        <v>86</v>
      </c>
      <c r="B13" s="109">
        <f>IF(B12=2,2,IF(B12=3,2,IF(B12=4,4,IF(B12=5,3,4))))</f>
        <v>2</v>
      </c>
      <c r="C13" s="907" t="s">
        <v>29</v>
      </c>
      <c r="D13" s="907"/>
      <c r="G13" s="87"/>
      <c r="H13" s="87"/>
      <c r="I13" s="87"/>
    </row>
    <row r="14" spans="1:10" ht="12" thickBot="1">
      <c r="A14" s="969"/>
      <c r="B14" s="970"/>
      <c r="C14" s="970"/>
      <c r="D14" s="970"/>
      <c r="G14" s="87"/>
      <c r="H14" s="87"/>
      <c r="I14" s="87"/>
    </row>
    <row r="15" spans="1:10" ht="12.75">
      <c r="A15" s="74" t="s">
        <v>7</v>
      </c>
      <c r="B15" s="75" t="s">
        <v>0</v>
      </c>
      <c r="C15" s="76" t="s">
        <v>4</v>
      </c>
      <c r="D15" s="77" t="s">
        <v>8</v>
      </c>
      <c r="G15" s="87"/>
      <c r="H15" s="87"/>
      <c r="I15" s="87"/>
    </row>
    <row r="16" spans="1:10">
      <c r="A16" s="96" t="s">
        <v>92</v>
      </c>
      <c r="B16" s="97">
        <f>(B4+0.3)*B13</f>
        <v>3.44</v>
      </c>
      <c r="C16" s="48"/>
      <c r="D16" s="1">
        <f t="shared" ref="D16:D42" si="0">B16*C16</f>
        <v>0</v>
      </c>
      <c r="G16" s="87"/>
      <c r="H16" s="87"/>
      <c r="I16" s="87"/>
    </row>
    <row r="17" spans="1:6">
      <c r="A17" s="96" t="s">
        <v>66</v>
      </c>
      <c r="B17" s="98">
        <f>IF(B6=1,2*B8,0)</f>
        <v>50</v>
      </c>
      <c r="C17" s="64"/>
      <c r="D17" s="80">
        <f t="shared" si="0"/>
        <v>0</v>
      </c>
    </row>
    <row r="18" spans="1:6">
      <c r="A18" s="96" t="s">
        <v>98</v>
      </c>
      <c r="B18" s="98">
        <f>B12*B8</f>
        <v>75</v>
      </c>
      <c r="C18" s="64"/>
      <c r="D18" s="80">
        <f t="shared" si="0"/>
        <v>0</v>
      </c>
    </row>
    <row r="19" spans="1:6">
      <c r="A19" s="213" t="s">
        <v>228</v>
      </c>
      <c r="B19" s="98">
        <f>B12*B8</f>
        <v>75</v>
      </c>
      <c r="C19" s="64"/>
      <c r="D19" s="80">
        <f t="shared" si="0"/>
        <v>0</v>
      </c>
    </row>
    <row r="20" spans="1:6">
      <c r="A20" s="213" t="s">
        <v>244</v>
      </c>
      <c r="B20" s="98">
        <f>((IF(B3&lt;1.5,2,3))*B8)</f>
        <v>50</v>
      </c>
      <c r="C20" s="64"/>
      <c r="D20" s="211">
        <f t="shared" si="0"/>
        <v>0</v>
      </c>
    </row>
    <row r="21" spans="1:6">
      <c r="A21" s="213" t="s">
        <v>245</v>
      </c>
      <c r="B21" s="98">
        <f>((IF(B3&lt;1.5,2,3))*B8)</f>
        <v>50</v>
      </c>
      <c r="C21" s="64"/>
      <c r="D21" s="211">
        <f t="shared" si="0"/>
        <v>0</v>
      </c>
    </row>
    <row r="22" spans="1:6">
      <c r="A22" s="213" t="s">
        <v>246</v>
      </c>
      <c r="B22" s="98">
        <f>((IF(B3&lt;1.5,2,3))*B8)</f>
        <v>50</v>
      </c>
      <c r="C22" s="64"/>
      <c r="D22" s="80">
        <f t="shared" si="0"/>
        <v>0</v>
      </c>
    </row>
    <row r="23" spans="1:6">
      <c r="A23" s="96" t="s">
        <v>68</v>
      </c>
      <c r="B23" s="98">
        <f>B3*B8</f>
        <v>20.5</v>
      </c>
      <c r="C23" s="64"/>
      <c r="D23" s="80">
        <f t="shared" si="0"/>
        <v>0</v>
      </c>
    </row>
    <row r="24" spans="1:6">
      <c r="A24" s="99" t="s">
        <v>94</v>
      </c>
      <c r="B24" s="98">
        <f>B12*B8</f>
        <v>75</v>
      </c>
      <c r="C24" s="64"/>
      <c r="D24" s="80">
        <f t="shared" si="0"/>
        <v>0</v>
      </c>
      <c r="F24" s="89"/>
    </row>
    <row r="25" spans="1:6">
      <c r="A25" s="99" t="s">
        <v>95</v>
      </c>
      <c r="B25" s="98">
        <f>2*B8</f>
        <v>50</v>
      </c>
      <c r="C25" s="64"/>
      <c r="D25" s="80">
        <f t="shared" si="0"/>
        <v>0</v>
      </c>
    </row>
    <row r="26" spans="1:6">
      <c r="A26" s="99" t="s">
        <v>96</v>
      </c>
      <c r="B26" s="229">
        <f>(IF(B3&lt;0.61,0,IF(B3&lt;1.01,1,IF(B3&lt;1.5,2,IF(B3&lt;1.8,3,4)))))*B8</f>
        <v>25</v>
      </c>
      <c r="C26" s="64"/>
      <c r="D26" s="80">
        <f t="shared" si="0"/>
        <v>0</v>
      </c>
    </row>
    <row r="27" spans="1:6">
      <c r="A27" s="100" t="s">
        <v>97</v>
      </c>
      <c r="B27" s="90">
        <f>2*B8</f>
        <v>50</v>
      </c>
      <c r="C27" s="64"/>
      <c r="D27" s="80">
        <f t="shared" si="0"/>
        <v>0</v>
      </c>
    </row>
    <row r="28" spans="1:6">
      <c r="A28" s="100" t="s">
        <v>93</v>
      </c>
      <c r="B28" s="90">
        <f>B12*(B4+0.3)*B8</f>
        <v>129</v>
      </c>
      <c r="C28" s="64"/>
      <c r="D28" s="80">
        <f t="shared" si="0"/>
        <v>0</v>
      </c>
      <c r="F28" s="89"/>
    </row>
    <row r="29" spans="1:6">
      <c r="A29" s="214" t="s">
        <v>229</v>
      </c>
      <c r="B29" s="90">
        <f>B3*B8</f>
        <v>20.5</v>
      </c>
      <c r="C29" s="64"/>
      <c r="D29" s="80">
        <f t="shared" si="0"/>
        <v>0</v>
      </c>
    </row>
    <row r="30" spans="1:6">
      <c r="A30" s="214" t="s">
        <v>237</v>
      </c>
      <c r="B30" s="90">
        <f>B8-B9</f>
        <v>24</v>
      </c>
      <c r="C30" s="64"/>
      <c r="D30" s="211">
        <f t="shared" si="0"/>
        <v>0</v>
      </c>
    </row>
    <row r="31" spans="1:6">
      <c r="A31" s="214" t="s">
        <v>304</v>
      </c>
      <c r="B31" s="90">
        <f>B9</f>
        <v>1</v>
      </c>
      <c r="C31" s="64"/>
      <c r="D31" s="211">
        <f t="shared" si="0"/>
        <v>0</v>
      </c>
    </row>
    <row r="32" spans="1:6">
      <c r="A32" s="214" t="s">
        <v>239</v>
      </c>
      <c r="B32" s="90">
        <f>B8-B9</f>
        <v>24</v>
      </c>
      <c r="C32" s="64"/>
      <c r="D32" s="211">
        <f t="shared" ref="D32:D38" si="1">B32*C32</f>
        <v>0</v>
      </c>
    </row>
    <row r="33" spans="1:4">
      <c r="A33" s="213" t="s">
        <v>230</v>
      </c>
      <c r="B33" s="90">
        <f>B12*B8</f>
        <v>75</v>
      </c>
      <c r="C33" s="64"/>
      <c r="D33" s="211">
        <f t="shared" si="1"/>
        <v>0</v>
      </c>
    </row>
    <row r="34" spans="1:4">
      <c r="A34" s="213" t="s">
        <v>240</v>
      </c>
      <c r="B34" s="90">
        <f>B8*2+(B8-B9)*2</f>
        <v>98</v>
      </c>
      <c r="C34" s="64"/>
      <c r="D34" s="211">
        <f t="shared" si="1"/>
        <v>0</v>
      </c>
    </row>
    <row r="35" spans="1:4">
      <c r="A35" s="213" t="s">
        <v>241</v>
      </c>
      <c r="B35" s="90">
        <f>B8*2</f>
        <v>50</v>
      </c>
      <c r="C35" s="64"/>
      <c r="D35" s="211">
        <f t="shared" si="1"/>
        <v>0</v>
      </c>
    </row>
    <row r="36" spans="1:4">
      <c r="A36" s="166" t="s">
        <v>233</v>
      </c>
      <c r="B36" s="90">
        <f>B10</f>
        <v>2</v>
      </c>
      <c r="C36" s="64"/>
      <c r="D36" s="211">
        <f t="shared" si="1"/>
        <v>0</v>
      </c>
    </row>
    <row r="37" spans="1:4">
      <c r="A37" s="166" t="s">
        <v>242</v>
      </c>
      <c r="B37" s="91">
        <f>B8</f>
        <v>25</v>
      </c>
      <c r="C37" s="78"/>
      <c r="D37" s="211">
        <f t="shared" si="1"/>
        <v>0</v>
      </c>
    </row>
    <row r="38" spans="1:4" ht="12" thickBot="1">
      <c r="A38" s="36" t="s">
        <v>243</v>
      </c>
      <c r="B38" s="212">
        <f>B11</f>
        <v>3</v>
      </c>
      <c r="C38" s="60"/>
      <c r="D38" s="211">
        <f t="shared" si="1"/>
        <v>0</v>
      </c>
    </row>
    <row r="39" spans="1:4" ht="12" thickBot="1">
      <c r="A39" s="967" t="s">
        <v>91</v>
      </c>
      <c r="B39" s="968"/>
      <c r="C39" s="968"/>
      <c r="D39" s="968"/>
    </row>
    <row r="40" spans="1:4">
      <c r="A40" s="111" t="s">
        <v>88</v>
      </c>
      <c r="B40" s="61">
        <f>(ROUND((B4-0.025)/0.0215,0))*B8</f>
        <v>1625</v>
      </c>
      <c r="C40" s="58"/>
      <c r="D40" s="83">
        <f t="shared" si="0"/>
        <v>0</v>
      </c>
    </row>
    <row r="41" spans="1:4">
      <c r="A41" s="112" t="s">
        <v>89</v>
      </c>
      <c r="B41" s="62">
        <f>B8</f>
        <v>25</v>
      </c>
      <c r="C41" s="48"/>
      <c r="D41" s="80">
        <f t="shared" si="0"/>
        <v>0</v>
      </c>
    </row>
    <row r="42" spans="1:4" ht="12" thickBot="1">
      <c r="A42" s="113" t="s">
        <v>90</v>
      </c>
      <c r="B42" s="63">
        <f>B8</f>
        <v>25</v>
      </c>
      <c r="C42" s="60"/>
      <c r="D42" s="84">
        <f t="shared" si="0"/>
        <v>0</v>
      </c>
    </row>
    <row r="43" spans="1:4">
      <c r="C43" s="3" t="s">
        <v>9</v>
      </c>
      <c r="D43" s="3">
        <f>SUM(D16:D34)</f>
        <v>0</v>
      </c>
    </row>
  </sheetData>
  <mergeCells count="12">
    <mergeCell ref="A39:D39"/>
    <mergeCell ref="C13:D13"/>
    <mergeCell ref="A14:D14"/>
    <mergeCell ref="C12:D12"/>
    <mergeCell ref="C6:D6"/>
    <mergeCell ref="C7:D7"/>
    <mergeCell ref="C8:D8"/>
    <mergeCell ref="A1:D1"/>
    <mergeCell ref="A2:D2"/>
    <mergeCell ref="C3:D3"/>
    <mergeCell ref="C4:D4"/>
    <mergeCell ref="C5:D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63"/>
  <sheetViews>
    <sheetView zoomScale="130" zoomScaleNormal="130" zoomScaleSheetLayoutView="100" workbookViewId="0">
      <selection activeCell="A16" sqref="A16:A18"/>
    </sheetView>
  </sheetViews>
  <sheetFormatPr defaultRowHeight="11.25"/>
  <cols>
    <col min="1" max="1" width="51.83203125" customWidth="1"/>
    <col min="2" max="2" width="10" customWidth="1"/>
    <col min="3" max="3" width="11.1640625" customWidth="1"/>
    <col min="4" max="4" width="12.1640625" customWidth="1"/>
    <col min="11" max="11" width="11" customWidth="1"/>
  </cols>
  <sheetData>
    <row r="1" spans="1:11" ht="31.5" customHeight="1" thickBot="1">
      <c r="A1" s="984" t="s">
        <v>207</v>
      </c>
      <c r="B1" s="985"/>
      <c r="C1" s="985"/>
      <c r="D1" s="985"/>
    </row>
    <row r="2" spans="1:11" ht="11.25" customHeight="1">
      <c r="A2" s="132" t="s">
        <v>10</v>
      </c>
      <c r="B2" s="61">
        <v>1</v>
      </c>
      <c r="C2" s="895" t="s">
        <v>30</v>
      </c>
      <c r="D2" s="896"/>
      <c r="F2" s="871" t="s">
        <v>150</v>
      </c>
      <c r="G2" s="872"/>
      <c r="H2" s="872"/>
      <c r="I2" s="872"/>
      <c r="J2" s="872"/>
      <c r="K2" s="873"/>
    </row>
    <row r="3" spans="1:11" ht="12" thickBot="1">
      <c r="A3" s="143" t="s">
        <v>1</v>
      </c>
      <c r="B3" s="163">
        <v>1</v>
      </c>
      <c r="C3" s="986" t="s">
        <v>30</v>
      </c>
      <c r="D3" s="987"/>
      <c r="F3" s="874"/>
      <c r="G3" s="875"/>
      <c r="H3" s="875"/>
      <c r="I3" s="875"/>
      <c r="J3" s="875"/>
      <c r="K3" s="876"/>
    </row>
    <row r="4" spans="1:11" ht="12" thickBot="1">
      <c r="A4" s="134" t="s">
        <v>36</v>
      </c>
      <c r="B4" s="164">
        <v>2</v>
      </c>
      <c r="C4" s="189" t="s">
        <v>179</v>
      </c>
      <c r="D4" s="5" t="s">
        <v>180</v>
      </c>
      <c r="F4" s="150"/>
      <c r="G4" s="150"/>
      <c r="H4" s="150"/>
      <c r="I4" s="150"/>
      <c r="J4" s="150"/>
      <c r="K4" s="150"/>
    </row>
    <row r="5" spans="1:11">
      <c r="A5" s="151" t="s">
        <v>185</v>
      </c>
      <c r="B5" s="130">
        <v>1</v>
      </c>
      <c r="C5" s="988" t="s">
        <v>30</v>
      </c>
      <c r="D5" s="989"/>
    </row>
    <row r="6" spans="1:11">
      <c r="A6" s="133" t="s">
        <v>186</v>
      </c>
      <c r="B6" s="62">
        <v>1</v>
      </c>
      <c r="C6" s="980" t="s">
        <v>30</v>
      </c>
      <c r="D6" s="981"/>
    </row>
    <row r="7" spans="1:11" ht="12" thickBot="1">
      <c r="A7" s="143" t="s">
        <v>187</v>
      </c>
      <c r="B7" s="129">
        <v>0</v>
      </c>
      <c r="C7" s="974" t="s">
        <v>30</v>
      </c>
      <c r="D7" s="975"/>
    </row>
    <row r="8" spans="1:11">
      <c r="A8" s="132" t="s">
        <v>181</v>
      </c>
      <c r="B8" s="61">
        <v>0</v>
      </c>
      <c r="C8" s="895" t="s">
        <v>30</v>
      </c>
      <c r="D8" s="896"/>
    </row>
    <row r="9" spans="1:11">
      <c r="A9" s="133" t="s">
        <v>117</v>
      </c>
      <c r="B9" s="186">
        <v>0</v>
      </c>
      <c r="C9" s="980" t="s">
        <v>30</v>
      </c>
      <c r="D9" s="981"/>
    </row>
    <row r="10" spans="1:11" ht="12" thickBot="1">
      <c r="A10" s="188" t="s">
        <v>191</v>
      </c>
      <c r="B10" s="63">
        <v>1</v>
      </c>
      <c r="C10" s="976" t="s">
        <v>30</v>
      </c>
      <c r="D10" s="977"/>
    </row>
    <row r="11" spans="1:11">
      <c r="A11" s="132" t="s">
        <v>119</v>
      </c>
      <c r="B11" s="61">
        <v>1</v>
      </c>
      <c r="C11" s="895" t="s">
        <v>30</v>
      </c>
      <c r="D11" s="896"/>
    </row>
    <row r="12" spans="1:11" ht="12" thickBot="1">
      <c r="A12" s="134" t="s">
        <v>120</v>
      </c>
      <c r="B12" s="63">
        <v>1</v>
      </c>
      <c r="C12" s="976" t="s">
        <v>30</v>
      </c>
      <c r="D12" s="977"/>
    </row>
    <row r="13" spans="1:11">
      <c r="A13" s="132" t="s">
        <v>182</v>
      </c>
      <c r="B13" s="61">
        <v>0</v>
      </c>
      <c r="C13" s="978" t="s">
        <v>30</v>
      </c>
      <c r="D13" s="979"/>
    </row>
    <row r="14" spans="1:11">
      <c r="A14" s="185" t="s">
        <v>183</v>
      </c>
      <c r="B14" s="186">
        <v>0</v>
      </c>
      <c r="C14" s="980" t="s">
        <v>30</v>
      </c>
      <c r="D14" s="981"/>
    </row>
    <row r="15" spans="1:11" ht="12" thickBot="1">
      <c r="A15" s="134" t="s">
        <v>184</v>
      </c>
      <c r="B15" s="63">
        <v>0</v>
      </c>
      <c r="C15" s="974" t="s">
        <v>30</v>
      </c>
      <c r="D15" s="975"/>
    </row>
    <row r="16" spans="1:11" ht="12" thickBot="1">
      <c r="A16" s="190" t="s">
        <v>205</v>
      </c>
      <c r="B16" s="200">
        <v>1</v>
      </c>
      <c r="C16" s="982" t="s">
        <v>30</v>
      </c>
      <c r="D16" s="983"/>
    </row>
    <row r="17" spans="1:6" ht="12" thickBot="1">
      <c r="A17" s="190" t="s">
        <v>204</v>
      </c>
      <c r="B17" s="200">
        <v>1</v>
      </c>
      <c r="C17" s="982" t="s">
        <v>30</v>
      </c>
      <c r="D17" s="983"/>
    </row>
    <row r="18" spans="1:6" ht="12" thickBot="1">
      <c r="A18" s="190" t="s">
        <v>197</v>
      </c>
      <c r="B18" s="187">
        <v>1</v>
      </c>
      <c r="C18" s="982" t="s">
        <v>30</v>
      </c>
      <c r="D18" s="983"/>
    </row>
    <row r="19" spans="1:6" ht="12" thickBot="1">
      <c r="A19" s="973"/>
      <c r="B19" s="973"/>
      <c r="C19" s="973"/>
      <c r="D19" s="973"/>
    </row>
    <row r="20" spans="1:6" s="8" customFormat="1" ht="18" customHeight="1">
      <c r="A20" s="117" t="s">
        <v>5</v>
      </c>
      <c r="B20" s="118" t="s">
        <v>0</v>
      </c>
      <c r="C20" s="144" t="s">
        <v>4</v>
      </c>
      <c r="D20" s="67" t="s">
        <v>8</v>
      </c>
    </row>
    <row r="21" spans="1:6">
      <c r="A21" s="10" t="s">
        <v>122</v>
      </c>
      <c r="B21" s="136">
        <f>IF(B11+B12=0,2*(B5+B6+B7+B8+B9+B10),2*((B5+B6+B7+B8+B9+B10)-(B11+B12)))</f>
        <v>2</v>
      </c>
      <c r="C21" s="6"/>
      <c r="D21" s="4">
        <f t="shared" ref="D21:D50" si="0">C21*B21</f>
        <v>0</v>
      </c>
    </row>
    <row r="22" spans="1:6">
      <c r="A22" s="11" t="s">
        <v>129</v>
      </c>
      <c r="B22" s="137">
        <f>2*(B11+B12)</f>
        <v>4</v>
      </c>
      <c r="C22" s="7"/>
      <c r="D22" s="4">
        <f t="shared" si="0"/>
        <v>0</v>
      </c>
    </row>
    <row r="23" spans="1:6">
      <c r="A23" s="11" t="s">
        <v>130</v>
      </c>
      <c r="B23" s="137">
        <f>B12</f>
        <v>1</v>
      </c>
      <c r="C23" s="7"/>
      <c r="D23" s="4">
        <f t="shared" si="0"/>
        <v>0</v>
      </c>
    </row>
    <row r="24" spans="1:6">
      <c r="A24" s="11" t="s">
        <v>131</v>
      </c>
      <c r="B24" s="137">
        <f>B11</f>
        <v>1</v>
      </c>
      <c r="C24" s="7"/>
      <c r="D24" s="4">
        <f t="shared" si="0"/>
        <v>0</v>
      </c>
    </row>
    <row r="25" spans="1:6">
      <c r="A25" s="11" t="s">
        <v>188</v>
      </c>
      <c r="B25" s="137">
        <f>(IF(B2&lt;=1,2,IF(B2&lt;=1.5,3,IF(B2&lt;=2,4,IF(B2&lt;=2.5,5,6)))))*(B8+B9+B10)</f>
        <v>2</v>
      </c>
      <c r="C25" s="7"/>
      <c r="D25" s="4">
        <f t="shared" si="0"/>
        <v>0</v>
      </c>
    </row>
    <row r="26" spans="1:6">
      <c r="A26" s="10" t="s">
        <v>125</v>
      </c>
      <c r="B26" s="136">
        <f>2*B6</f>
        <v>2</v>
      </c>
      <c r="C26" s="6"/>
      <c r="D26" s="4">
        <f t="shared" si="0"/>
        <v>0</v>
      </c>
      <c r="E26" s="87"/>
      <c r="F26" s="87"/>
    </row>
    <row r="27" spans="1:6">
      <c r="A27" s="11" t="s">
        <v>121</v>
      </c>
      <c r="B27" s="137">
        <f>2*B5</f>
        <v>2</v>
      </c>
      <c r="C27" s="9"/>
      <c r="D27" s="4">
        <f t="shared" si="0"/>
        <v>0</v>
      </c>
    </row>
    <row r="28" spans="1:6">
      <c r="A28" s="10" t="s">
        <v>126</v>
      </c>
      <c r="B28" s="138">
        <f>2*B7</f>
        <v>0</v>
      </c>
      <c r="C28" s="6"/>
      <c r="D28" s="4">
        <f t="shared" si="0"/>
        <v>0</v>
      </c>
      <c r="E28" s="135"/>
      <c r="F28" s="135"/>
    </row>
    <row r="29" spans="1:6">
      <c r="A29" s="11" t="s">
        <v>135</v>
      </c>
      <c r="B29" s="137">
        <f>2*B8</f>
        <v>0</v>
      </c>
      <c r="C29" s="6"/>
      <c r="D29" s="4">
        <f t="shared" si="0"/>
        <v>0</v>
      </c>
    </row>
    <row r="30" spans="1:6">
      <c r="A30" s="11" t="s">
        <v>154</v>
      </c>
      <c r="B30" s="137">
        <f>2*(B9+B10)</f>
        <v>2</v>
      </c>
      <c r="C30" s="6"/>
      <c r="D30" s="4">
        <f t="shared" si="0"/>
        <v>0</v>
      </c>
    </row>
    <row r="31" spans="1:6">
      <c r="A31" s="11" t="s">
        <v>128</v>
      </c>
      <c r="B31" s="137">
        <f>B10+B9</f>
        <v>1</v>
      </c>
      <c r="C31" s="7"/>
      <c r="D31" s="4">
        <f t="shared" si="0"/>
        <v>0</v>
      </c>
    </row>
    <row r="32" spans="1:6">
      <c r="A32" s="11" t="s">
        <v>136</v>
      </c>
      <c r="B32" s="137">
        <f>B2*(B5+B6+B7+B8+B9+B10)</f>
        <v>3</v>
      </c>
      <c r="C32" s="6"/>
      <c r="D32" s="4">
        <f t="shared" si="0"/>
        <v>0</v>
      </c>
    </row>
    <row r="33" spans="1:6">
      <c r="A33" s="10" t="s">
        <v>124</v>
      </c>
      <c r="B33" s="136">
        <f>B35</f>
        <v>2.8979999999999997</v>
      </c>
      <c r="C33" s="6"/>
      <c r="D33" s="4">
        <f t="shared" si="0"/>
        <v>0</v>
      </c>
    </row>
    <row r="34" spans="1:6">
      <c r="A34" s="11" t="s">
        <v>127</v>
      </c>
      <c r="B34" s="137">
        <f>B2*(B8+B9+B10)</f>
        <v>1</v>
      </c>
      <c r="C34" s="6"/>
      <c r="D34" s="4">
        <f t="shared" si="0"/>
        <v>0</v>
      </c>
    </row>
    <row r="35" spans="1:6">
      <c r="A35" s="11" t="s">
        <v>167</v>
      </c>
      <c r="B35" s="137">
        <f>(IF(B4=2,B2-0.034,B2))*(B5+B6+B7+B8+B9+B10)</f>
        <v>2.8979999999999997</v>
      </c>
      <c r="C35" s="6"/>
      <c r="D35" s="4">
        <f t="shared" si="0"/>
        <v>0</v>
      </c>
    </row>
    <row r="36" spans="1:6">
      <c r="A36" s="11" t="s">
        <v>151</v>
      </c>
      <c r="B36" s="137">
        <f>4*(B8+B9+B10)</f>
        <v>4</v>
      </c>
      <c r="C36" s="6"/>
      <c r="D36" s="4">
        <f t="shared" si="0"/>
        <v>0</v>
      </c>
    </row>
    <row r="37" spans="1:6">
      <c r="A37" s="11" t="s">
        <v>133</v>
      </c>
      <c r="B37" s="137">
        <f>(2*B3+0.2)*(B11+B12)</f>
        <v>4.4000000000000004</v>
      </c>
      <c r="C37" s="7"/>
      <c r="D37" s="4">
        <f t="shared" si="0"/>
        <v>0</v>
      </c>
    </row>
    <row r="38" spans="1:6">
      <c r="A38" s="11" t="s">
        <v>189</v>
      </c>
      <c r="B38" s="137">
        <f>(IF(B4=2,B2-0.034,B2))*(B5+B8)</f>
        <v>0.96599999999999997</v>
      </c>
      <c r="C38" s="9"/>
      <c r="D38" s="4">
        <f t="shared" si="0"/>
        <v>0</v>
      </c>
    </row>
    <row r="39" spans="1:6">
      <c r="A39" s="10" t="s">
        <v>166</v>
      </c>
      <c r="B39" s="137">
        <f>(IF(B4=2,B2-0.035,B2))*(B6+B9)</f>
        <v>0.96499999999999997</v>
      </c>
      <c r="C39" s="6"/>
      <c r="D39" s="4">
        <f t="shared" si="0"/>
        <v>0</v>
      </c>
    </row>
    <row r="40" spans="1:6">
      <c r="A40" s="11" t="s">
        <v>190</v>
      </c>
      <c r="B40" s="137">
        <f>(IF(B4=2,B2-0.044,B2))*(B7+B10)</f>
        <v>0.95599999999999996</v>
      </c>
      <c r="C40" s="6"/>
      <c r="D40" s="4">
        <f t="shared" si="0"/>
        <v>0</v>
      </c>
      <c r="E40" s="87"/>
      <c r="F40" s="87"/>
    </row>
    <row r="41" spans="1:6">
      <c r="A41" s="11" t="s">
        <v>132</v>
      </c>
      <c r="B41" s="137">
        <f>4*(B11+B12)</f>
        <v>8</v>
      </c>
      <c r="C41" s="7"/>
      <c r="D41" s="4">
        <f t="shared" si="0"/>
        <v>0</v>
      </c>
    </row>
    <row r="42" spans="1:6">
      <c r="A42" s="11" t="s">
        <v>198</v>
      </c>
      <c r="B42" s="137">
        <f>B5+B6+B8+B9</f>
        <v>2</v>
      </c>
      <c r="C42" s="7"/>
      <c r="D42" s="160">
        <f t="shared" si="0"/>
        <v>0</v>
      </c>
    </row>
    <row r="43" spans="1:6">
      <c r="A43" s="11" t="s">
        <v>199</v>
      </c>
      <c r="B43" s="137">
        <f>B14</f>
        <v>0</v>
      </c>
      <c r="C43" s="7"/>
      <c r="D43" s="160">
        <f t="shared" si="0"/>
        <v>0</v>
      </c>
    </row>
    <row r="44" spans="1:6">
      <c r="A44" s="11" t="s">
        <v>200</v>
      </c>
      <c r="B44" s="137">
        <f>B13</f>
        <v>0</v>
      </c>
      <c r="C44" s="7"/>
      <c r="D44" s="160">
        <f t="shared" si="0"/>
        <v>0</v>
      </c>
    </row>
    <row r="45" spans="1:6">
      <c r="A45" s="11" t="s">
        <v>201</v>
      </c>
      <c r="B45" s="137">
        <f>B15</f>
        <v>0</v>
      </c>
      <c r="C45" s="7"/>
      <c r="D45" s="160">
        <f t="shared" si="0"/>
        <v>0</v>
      </c>
    </row>
    <row r="46" spans="1:6">
      <c r="A46" s="11" t="s">
        <v>192</v>
      </c>
      <c r="B46" s="137">
        <f>B5+B8</f>
        <v>1</v>
      </c>
      <c r="C46" s="7"/>
      <c r="D46" s="160">
        <f t="shared" si="0"/>
        <v>0</v>
      </c>
    </row>
    <row r="47" spans="1:6">
      <c r="A47" s="11" t="s">
        <v>193</v>
      </c>
      <c r="B47" s="137">
        <f>B6+B9</f>
        <v>1</v>
      </c>
      <c r="C47" s="7"/>
      <c r="D47" s="160">
        <f t="shared" si="0"/>
        <v>0</v>
      </c>
    </row>
    <row r="48" spans="1:6">
      <c r="A48" s="11" t="s">
        <v>194</v>
      </c>
      <c r="B48" s="137">
        <f>B7+B10</f>
        <v>1</v>
      </c>
      <c r="C48" s="7"/>
      <c r="D48" s="160">
        <f t="shared" si="0"/>
        <v>0</v>
      </c>
    </row>
    <row r="49" spans="1:4">
      <c r="A49" s="11" t="s">
        <v>195</v>
      </c>
      <c r="B49" s="137">
        <f>B7+B10</f>
        <v>1</v>
      </c>
      <c r="C49" s="7"/>
      <c r="D49" s="160">
        <f t="shared" si="0"/>
        <v>0</v>
      </c>
    </row>
    <row r="50" spans="1:4">
      <c r="A50" s="11" t="s">
        <v>196</v>
      </c>
      <c r="B50" s="137">
        <f>B7+B10</f>
        <v>1</v>
      </c>
      <c r="C50" s="7"/>
      <c r="D50" s="160">
        <f t="shared" si="0"/>
        <v>0</v>
      </c>
    </row>
    <row r="51" spans="1:4">
      <c r="A51" s="201" t="s">
        <v>203</v>
      </c>
      <c r="B51" s="202">
        <f>B17</f>
        <v>1</v>
      </c>
      <c r="C51" s="203"/>
      <c r="D51" s="204">
        <f>B51*C51</f>
        <v>0</v>
      </c>
    </row>
    <row r="52" spans="1:4">
      <c r="A52" s="201" t="s">
        <v>206</v>
      </c>
      <c r="B52" s="202">
        <f>B16</f>
        <v>1</v>
      </c>
      <c r="C52" s="203"/>
      <c r="D52" s="204">
        <f>B52*C52</f>
        <v>0</v>
      </c>
    </row>
    <row r="53" spans="1:4" ht="12" thickBot="1">
      <c r="A53" s="36" t="s">
        <v>169</v>
      </c>
      <c r="B53" s="145">
        <f>B18</f>
        <v>1</v>
      </c>
      <c r="C53" s="146"/>
      <c r="D53" s="5">
        <f>B53*C53</f>
        <v>0</v>
      </c>
    </row>
    <row r="54" spans="1:4" ht="12.75">
      <c r="C54" s="2" t="s">
        <v>9</v>
      </c>
      <c r="D54">
        <f>SUM(D22:D41)</f>
        <v>0</v>
      </c>
    </row>
    <row r="60" spans="1:4">
      <c r="A60" s="114"/>
      <c r="B60" s="115"/>
      <c r="C60" s="116"/>
      <c r="D60" s="87"/>
    </row>
    <row r="61" spans="1:4">
      <c r="A61" s="114"/>
      <c r="B61" s="115"/>
      <c r="C61" s="116"/>
      <c r="D61" s="87"/>
    </row>
    <row r="62" spans="1:4">
      <c r="A62" s="114"/>
      <c r="B62" s="115"/>
      <c r="C62" s="116"/>
      <c r="D62" s="87"/>
    </row>
    <row r="63" spans="1:4" ht="16.5" customHeight="1"/>
  </sheetData>
  <mergeCells count="19">
    <mergeCell ref="A1:D1"/>
    <mergeCell ref="C2:D2"/>
    <mergeCell ref="C3:D3"/>
    <mergeCell ref="C5:D5"/>
    <mergeCell ref="C8:D8"/>
    <mergeCell ref="C6:D6"/>
    <mergeCell ref="C7:D7"/>
    <mergeCell ref="A19:D19"/>
    <mergeCell ref="F2:K3"/>
    <mergeCell ref="C15:D15"/>
    <mergeCell ref="C11:D11"/>
    <mergeCell ref="C10:D10"/>
    <mergeCell ref="C12:D12"/>
    <mergeCell ref="C13:D13"/>
    <mergeCell ref="C14:D14"/>
    <mergeCell ref="C18:D18"/>
    <mergeCell ref="C9:D9"/>
    <mergeCell ref="C16:D16"/>
    <mergeCell ref="C17:D1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66"/>
  <sheetViews>
    <sheetView topLeftCell="A19" zoomScale="123" zoomScaleNormal="130" zoomScaleSheetLayoutView="100" workbookViewId="0">
      <selection activeCell="A34" sqref="A34:XFD34"/>
    </sheetView>
  </sheetViews>
  <sheetFormatPr defaultRowHeight="11.25"/>
  <cols>
    <col min="1" max="1" width="62" customWidth="1"/>
    <col min="2" max="2" width="10" customWidth="1"/>
    <col min="4" max="4" width="16.66406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11" ht="31.5" customHeight="1" thickBot="1">
      <c r="A1" s="984" t="s">
        <v>208</v>
      </c>
      <c r="B1" s="985"/>
      <c r="C1" s="985"/>
      <c r="D1" s="985"/>
    </row>
    <row r="2" spans="1:11">
      <c r="A2" s="132" t="s">
        <v>10</v>
      </c>
      <c r="B2" s="61">
        <v>2.23</v>
      </c>
      <c r="C2" s="895" t="s">
        <v>30</v>
      </c>
      <c r="D2" s="896"/>
      <c r="F2" s="871" t="s">
        <v>150</v>
      </c>
      <c r="G2" s="872"/>
      <c r="H2" s="872"/>
      <c r="I2" s="872"/>
      <c r="J2" s="872"/>
      <c r="K2" s="873"/>
    </row>
    <row r="3" spans="1:11" ht="12" thickBot="1">
      <c r="A3" s="143" t="s">
        <v>1</v>
      </c>
      <c r="B3" s="129">
        <v>2</v>
      </c>
      <c r="C3" s="986" t="s">
        <v>30</v>
      </c>
      <c r="D3" s="987"/>
      <c r="F3" s="874"/>
      <c r="G3" s="875"/>
      <c r="H3" s="875"/>
      <c r="I3" s="875"/>
      <c r="J3" s="875"/>
      <c r="K3" s="876"/>
    </row>
    <row r="4" spans="1:11">
      <c r="A4" s="140" t="s">
        <v>212</v>
      </c>
      <c r="B4" s="61">
        <v>0</v>
      </c>
      <c r="C4" s="992" t="s">
        <v>209</v>
      </c>
      <c r="D4" s="993"/>
    </row>
    <row r="5" spans="1:11">
      <c r="A5" s="139" t="s">
        <v>213</v>
      </c>
      <c r="B5" s="62">
        <v>0</v>
      </c>
      <c r="C5" s="988"/>
      <c r="D5" s="989"/>
    </row>
    <row r="6" spans="1:11" ht="12" thickBot="1">
      <c r="A6" s="142" t="s">
        <v>218</v>
      </c>
      <c r="B6" s="63">
        <v>0</v>
      </c>
      <c r="C6" s="980" t="s">
        <v>30</v>
      </c>
      <c r="D6" s="981"/>
    </row>
    <row r="7" spans="1:11" ht="11.25" customHeight="1">
      <c r="A7" s="140" t="s">
        <v>214</v>
      </c>
      <c r="B7" s="141">
        <v>3</v>
      </c>
      <c r="C7" s="992" t="s">
        <v>209</v>
      </c>
      <c r="D7" s="993"/>
    </row>
    <row r="8" spans="1:11">
      <c r="A8" s="139" t="s">
        <v>215</v>
      </c>
      <c r="B8" s="129">
        <v>0</v>
      </c>
      <c r="C8" s="988"/>
      <c r="D8" s="989"/>
    </row>
    <row r="9" spans="1:11">
      <c r="A9" s="139" t="s">
        <v>217</v>
      </c>
      <c r="B9" s="129">
        <v>0</v>
      </c>
      <c r="C9" s="980" t="s">
        <v>30</v>
      </c>
      <c r="D9" s="981"/>
    </row>
    <row r="10" spans="1:11" ht="12" thickBot="1">
      <c r="A10" s="139" t="s">
        <v>216</v>
      </c>
      <c r="B10" s="129">
        <v>3</v>
      </c>
      <c r="C10" s="990" t="s">
        <v>30</v>
      </c>
      <c r="D10" s="991"/>
    </row>
    <row r="11" spans="1:11" ht="11.25" customHeight="1">
      <c r="A11" s="140" t="s">
        <v>210</v>
      </c>
      <c r="B11" s="183">
        <v>0</v>
      </c>
      <c r="C11" s="992" t="s">
        <v>209</v>
      </c>
      <c r="D11" s="993"/>
    </row>
    <row r="12" spans="1:11">
      <c r="A12" s="139" t="s">
        <v>211</v>
      </c>
      <c r="B12" s="182">
        <v>0</v>
      </c>
      <c r="C12" s="988"/>
      <c r="D12" s="989"/>
    </row>
    <row r="13" spans="1:11">
      <c r="A13" s="139" t="s">
        <v>217</v>
      </c>
      <c r="B13" s="182">
        <v>0</v>
      </c>
      <c r="C13" s="980" t="s">
        <v>30</v>
      </c>
      <c r="D13" s="981"/>
    </row>
    <row r="14" spans="1:11" ht="12" thickBot="1">
      <c r="A14" s="139" t="s">
        <v>216</v>
      </c>
      <c r="B14" s="182">
        <v>0</v>
      </c>
      <c r="C14" s="990" t="s">
        <v>30</v>
      </c>
      <c r="D14" s="991"/>
    </row>
    <row r="15" spans="1:11">
      <c r="A15" s="140" t="s">
        <v>182</v>
      </c>
      <c r="B15" s="179">
        <v>0</v>
      </c>
      <c r="C15" s="978" t="s">
        <v>30</v>
      </c>
      <c r="D15" s="979"/>
    </row>
    <row r="16" spans="1:11">
      <c r="A16" s="205" t="s">
        <v>183</v>
      </c>
      <c r="B16" s="186">
        <v>0</v>
      </c>
      <c r="C16" s="980" t="s">
        <v>30</v>
      </c>
      <c r="D16" s="981"/>
    </row>
    <row r="17" spans="1:4" ht="12" thickBot="1">
      <c r="A17" s="142" t="s">
        <v>184</v>
      </c>
      <c r="B17" s="181">
        <v>0</v>
      </c>
      <c r="C17" s="974" t="s">
        <v>30</v>
      </c>
      <c r="D17" s="975"/>
    </row>
    <row r="18" spans="1:4" ht="12" thickBot="1">
      <c r="A18" s="206" t="s">
        <v>205</v>
      </c>
      <c r="B18" s="200">
        <v>0</v>
      </c>
      <c r="C18" s="982" t="s">
        <v>30</v>
      </c>
      <c r="D18" s="983"/>
    </row>
    <row r="19" spans="1:4" ht="12" thickBot="1">
      <c r="A19" s="206" t="s">
        <v>204</v>
      </c>
      <c r="B19" s="200">
        <v>1</v>
      </c>
      <c r="C19" s="982" t="s">
        <v>30</v>
      </c>
      <c r="D19" s="983"/>
    </row>
    <row r="20" spans="1:4" ht="12" thickBot="1">
      <c r="A20" s="206" t="s">
        <v>197</v>
      </c>
      <c r="B20" s="187">
        <v>0</v>
      </c>
      <c r="C20" s="982" t="s">
        <v>30</v>
      </c>
      <c r="D20" s="983"/>
    </row>
    <row r="21" spans="1:4" ht="12" thickBot="1">
      <c r="A21" s="973"/>
      <c r="B21" s="973"/>
      <c r="C21" s="973"/>
      <c r="D21" s="973"/>
    </row>
    <row r="22" spans="1:4" s="8" customFormat="1" ht="18" customHeight="1">
      <c r="A22" s="117" t="s">
        <v>5</v>
      </c>
      <c r="B22" s="118" t="s">
        <v>0</v>
      </c>
      <c r="C22" s="144" t="s">
        <v>4</v>
      </c>
      <c r="D22" s="67" t="s">
        <v>8</v>
      </c>
    </row>
    <row r="23" spans="1:4">
      <c r="A23" s="10" t="s">
        <v>122</v>
      </c>
      <c r="B23" s="136">
        <f>2*(B4+B5+B7+B8+B11+B12)</f>
        <v>6</v>
      </c>
      <c r="C23" s="6"/>
      <c r="D23" s="178">
        <f t="shared" ref="D23:D53" si="0">C23*B23</f>
        <v>0</v>
      </c>
    </row>
    <row r="24" spans="1:4">
      <c r="A24" s="10" t="s">
        <v>146</v>
      </c>
      <c r="B24" s="136">
        <f>(IF(B2&lt;=1,2,IF(B2&lt;=1.5,3,IF(B2&lt;=2,4,IF(B2&lt;=2.5,5,6)))))*(B4+B5)-B26</f>
        <v>0</v>
      </c>
      <c r="C24" s="6"/>
      <c r="D24" s="4">
        <f t="shared" si="0"/>
        <v>0</v>
      </c>
    </row>
    <row r="25" spans="1:4">
      <c r="A25" s="10" t="s">
        <v>147</v>
      </c>
      <c r="B25" s="136">
        <f>(IF(B2&lt;=1,2,IF(B2&lt;=1.5,3,IF(B2&lt;=2,4,IF(B2&lt;=2.5,5,6)))))*(B8+B7+B11+B12)-B27-B14</f>
        <v>0</v>
      </c>
      <c r="C25" s="6"/>
      <c r="D25" s="4">
        <f t="shared" si="0"/>
        <v>0</v>
      </c>
    </row>
    <row r="26" spans="1:4">
      <c r="A26" s="10" t="s">
        <v>149</v>
      </c>
      <c r="B26" s="136">
        <f>(IF(B2&lt;=1,2,IF(B2&lt;=1.5,3,IF(B2&lt;=2,4,IF(B2&lt;=2.5,5,6)))))*(B6)</f>
        <v>0</v>
      </c>
      <c r="C26" s="6"/>
      <c r="D26" s="4">
        <f t="shared" si="0"/>
        <v>0</v>
      </c>
    </row>
    <row r="27" spans="1:4">
      <c r="A27" s="10" t="s">
        <v>148</v>
      </c>
      <c r="B27" s="136">
        <f>(IF(B2&lt;=1,2,IF(B2&lt;=1.5,3,IF(B2&lt;=2,4,IF(B2&lt;=2.5,5,6)))))*(B10+B14)</f>
        <v>15</v>
      </c>
      <c r="C27" s="6"/>
      <c r="D27" s="4">
        <f t="shared" si="0"/>
        <v>0</v>
      </c>
    </row>
    <row r="28" spans="1:4">
      <c r="A28" s="10" t="s">
        <v>50</v>
      </c>
      <c r="B28" s="136">
        <f>B2*2*(B5+B8+B12)</f>
        <v>0</v>
      </c>
      <c r="C28" s="6"/>
      <c r="D28" s="4">
        <f t="shared" si="0"/>
        <v>0</v>
      </c>
    </row>
    <row r="29" spans="1:4">
      <c r="A29" s="11" t="s">
        <v>139</v>
      </c>
      <c r="B29" s="137">
        <f>B4+B5</f>
        <v>0</v>
      </c>
      <c r="C29" s="7"/>
      <c r="D29" s="4">
        <f t="shared" si="0"/>
        <v>0</v>
      </c>
    </row>
    <row r="30" spans="1:4">
      <c r="A30" s="10" t="s">
        <v>137</v>
      </c>
      <c r="B30" s="136">
        <f>(B7+B8+B11+B12)-B9-B13</f>
        <v>3</v>
      </c>
      <c r="C30" s="6"/>
      <c r="D30" s="4">
        <f t="shared" si="0"/>
        <v>0</v>
      </c>
    </row>
    <row r="31" spans="1:4">
      <c r="A31" s="10" t="s">
        <v>138</v>
      </c>
      <c r="B31" s="136">
        <f>B9+B13</f>
        <v>0</v>
      </c>
      <c r="C31" s="6"/>
      <c r="D31" s="4">
        <f t="shared" si="0"/>
        <v>0</v>
      </c>
    </row>
    <row r="32" spans="1:4">
      <c r="A32" s="11" t="s">
        <v>136</v>
      </c>
      <c r="B32" s="136">
        <f>B2*(B4+B5+B7+B8+B11+B12)</f>
        <v>6.6899999999999995</v>
      </c>
      <c r="C32" s="6"/>
      <c r="D32" s="4">
        <f t="shared" si="0"/>
        <v>0</v>
      </c>
    </row>
    <row r="33" spans="1:6">
      <c r="A33" s="11" t="s">
        <v>300</v>
      </c>
      <c r="B33" s="136">
        <f>B4+B5</f>
        <v>0</v>
      </c>
      <c r="C33" s="6"/>
      <c r="D33" s="260">
        <f t="shared" si="0"/>
        <v>0</v>
      </c>
    </row>
    <row r="34" spans="1:6">
      <c r="A34" s="10" t="s">
        <v>124</v>
      </c>
      <c r="B34" s="136">
        <f>B32</f>
        <v>6.6899999999999995</v>
      </c>
      <c r="C34" s="6"/>
      <c r="D34" s="4">
        <f t="shared" si="0"/>
        <v>0</v>
      </c>
    </row>
    <row r="35" spans="1:6">
      <c r="A35" s="10" t="s">
        <v>142</v>
      </c>
      <c r="B35" s="136">
        <f>B2*B4</f>
        <v>0</v>
      </c>
      <c r="C35" s="6"/>
      <c r="D35" s="4">
        <f t="shared" si="0"/>
        <v>0</v>
      </c>
    </row>
    <row r="36" spans="1:6">
      <c r="A36" s="10" t="s">
        <v>143</v>
      </c>
      <c r="B36" s="136">
        <f>B2*B5</f>
        <v>0</v>
      </c>
      <c r="C36" s="6"/>
      <c r="D36" s="4">
        <f t="shared" si="0"/>
        <v>0</v>
      </c>
    </row>
    <row r="37" spans="1:6">
      <c r="A37" s="10" t="s">
        <v>144</v>
      </c>
      <c r="B37" s="136">
        <f>B2*(B7+B11)</f>
        <v>6.6899999999999995</v>
      </c>
      <c r="C37" s="6"/>
      <c r="D37" s="4">
        <f t="shared" si="0"/>
        <v>0</v>
      </c>
    </row>
    <row r="38" spans="1:6">
      <c r="A38" s="10" t="s">
        <v>145</v>
      </c>
      <c r="B38" s="136">
        <f>B2*(B12+B8)</f>
        <v>0</v>
      </c>
      <c r="C38" s="6"/>
      <c r="D38" s="4">
        <f t="shared" si="0"/>
        <v>0</v>
      </c>
    </row>
    <row r="39" spans="1:6">
      <c r="A39" s="10" t="s">
        <v>140</v>
      </c>
      <c r="B39" s="136">
        <f>B2*(B4+B5)</f>
        <v>0</v>
      </c>
      <c r="C39" s="6"/>
      <c r="D39" s="4">
        <f t="shared" si="0"/>
        <v>0</v>
      </c>
    </row>
    <row r="40" spans="1:6">
      <c r="A40" s="10" t="s">
        <v>141</v>
      </c>
      <c r="B40" s="136">
        <f>B2*(B7+B8+B11+B12)</f>
        <v>6.6899999999999995</v>
      </c>
      <c r="C40" s="6"/>
      <c r="D40" s="4">
        <f t="shared" si="0"/>
        <v>0</v>
      </c>
    </row>
    <row r="41" spans="1:6">
      <c r="A41" s="11" t="s">
        <v>168</v>
      </c>
      <c r="B41" s="136">
        <f>B2*(B4+B5+B7+B8+B11+B12)</f>
        <v>6.6899999999999995</v>
      </c>
      <c r="C41" s="6"/>
      <c r="D41" s="4">
        <f t="shared" si="0"/>
        <v>0</v>
      </c>
    </row>
    <row r="42" spans="1:6">
      <c r="A42" s="11" t="s">
        <v>189</v>
      </c>
      <c r="B42" s="137">
        <f>B2*(B4+B5)</f>
        <v>0</v>
      </c>
      <c r="C42" s="9"/>
      <c r="D42" s="178">
        <f t="shared" si="0"/>
        <v>0</v>
      </c>
    </row>
    <row r="43" spans="1:6">
      <c r="A43" s="10" t="s">
        <v>166</v>
      </c>
      <c r="B43" s="137">
        <f>B2*(B7+B8)</f>
        <v>6.6899999999999995</v>
      </c>
      <c r="C43" s="6"/>
      <c r="D43" s="178">
        <f t="shared" si="0"/>
        <v>0</v>
      </c>
    </row>
    <row r="44" spans="1:6">
      <c r="A44" s="11" t="s">
        <v>190</v>
      </c>
      <c r="B44" s="137">
        <f>B2*(B11+B12)</f>
        <v>0</v>
      </c>
      <c r="C44" s="6"/>
      <c r="D44" s="178">
        <f t="shared" si="0"/>
        <v>0</v>
      </c>
      <c r="E44" s="87"/>
      <c r="F44" s="87"/>
    </row>
    <row r="45" spans="1:6">
      <c r="A45" s="11" t="s">
        <v>198</v>
      </c>
      <c r="B45" s="137">
        <f>B4+B5+B7+B8</f>
        <v>3</v>
      </c>
      <c r="C45" s="7"/>
      <c r="D45" s="178">
        <f t="shared" si="0"/>
        <v>0</v>
      </c>
    </row>
    <row r="46" spans="1:6">
      <c r="A46" s="11" t="s">
        <v>199</v>
      </c>
      <c r="B46" s="137">
        <f>B16</f>
        <v>0</v>
      </c>
      <c r="C46" s="7"/>
      <c r="D46" s="178">
        <f t="shared" si="0"/>
        <v>0</v>
      </c>
    </row>
    <row r="47" spans="1:6">
      <c r="A47" s="11" t="s">
        <v>200</v>
      </c>
      <c r="B47" s="137">
        <f>B15</f>
        <v>0</v>
      </c>
      <c r="C47" s="7"/>
      <c r="D47" s="178">
        <f t="shared" si="0"/>
        <v>0</v>
      </c>
    </row>
    <row r="48" spans="1:6">
      <c r="A48" s="11" t="s">
        <v>201</v>
      </c>
      <c r="B48" s="137">
        <f>B17</f>
        <v>0</v>
      </c>
      <c r="C48" s="7"/>
      <c r="D48" s="178">
        <f t="shared" si="0"/>
        <v>0</v>
      </c>
    </row>
    <row r="49" spans="1:4">
      <c r="A49" s="11" t="s">
        <v>192</v>
      </c>
      <c r="B49" s="137">
        <f>B4+B5</f>
        <v>0</v>
      </c>
      <c r="C49" s="7"/>
      <c r="D49" s="178">
        <f t="shared" si="0"/>
        <v>0</v>
      </c>
    </row>
    <row r="50" spans="1:4">
      <c r="A50" s="11" t="s">
        <v>193</v>
      </c>
      <c r="B50" s="137">
        <f>B7+B8</f>
        <v>3</v>
      </c>
      <c r="C50" s="7"/>
      <c r="D50" s="178">
        <f t="shared" si="0"/>
        <v>0</v>
      </c>
    </row>
    <row r="51" spans="1:4">
      <c r="A51" s="11" t="s">
        <v>194</v>
      </c>
      <c r="B51" s="137">
        <f>B11+B12</f>
        <v>0</v>
      </c>
      <c r="C51" s="7"/>
      <c r="D51" s="178">
        <f t="shared" si="0"/>
        <v>0</v>
      </c>
    </row>
    <row r="52" spans="1:4">
      <c r="A52" s="11" t="s">
        <v>195</v>
      </c>
      <c r="B52" s="137">
        <f>B11+B12</f>
        <v>0</v>
      </c>
      <c r="C52" s="7"/>
      <c r="D52" s="178">
        <f t="shared" si="0"/>
        <v>0</v>
      </c>
    </row>
    <row r="53" spans="1:4">
      <c r="A53" s="11" t="s">
        <v>196</v>
      </c>
      <c r="B53" s="137">
        <f>B11+B12</f>
        <v>0</v>
      </c>
      <c r="C53" s="7"/>
      <c r="D53" s="178">
        <f t="shared" si="0"/>
        <v>0</v>
      </c>
    </row>
    <row r="54" spans="1:4">
      <c r="A54" s="201" t="s">
        <v>203</v>
      </c>
      <c r="B54" s="202">
        <f>B19</f>
        <v>1</v>
      </c>
      <c r="C54" s="203"/>
      <c r="D54" s="204">
        <f>B54*C54</f>
        <v>0</v>
      </c>
    </row>
    <row r="55" spans="1:4">
      <c r="A55" s="201" t="s">
        <v>206</v>
      </c>
      <c r="B55" s="202">
        <f>B18</f>
        <v>0</v>
      </c>
      <c r="C55" s="203"/>
      <c r="D55" s="204">
        <f>B55*C55</f>
        <v>0</v>
      </c>
    </row>
    <row r="56" spans="1:4" ht="12" thickBot="1">
      <c r="A56" s="36" t="s">
        <v>169</v>
      </c>
      <c r="B56" s="145">
        <f>B20</f>
        <v>0</v>
      </c>
      <c r="C56" s="146"/>
      <c r="D56" s="5">
        <f>B56*C56</f>
        <v>0</v>
      </c>
    </row>
    <row r="57" spans="1:4" ht="12.75">
      <c r="C57" s="2" t="s">
        <v>9</v>
      </c>
      <c r="D57">
        <f>SUM(D23:D56)</f>
        <v>0</v>
      </c>
    </row>
    <row r="63" spans="1:4">
      <c r="A63" s="114"/>
      <c r="B63" s="115"/>
      <c r="C63" s="116"/>
      <c r="D63" s="87"/>
    </row>
    <row r="64" spans="1:4">
      <c r="A64" s="114"/>
      <c r="B64" s="115"/>
      <c r="C64" s="116"/>
      <c r="D64" s="87"/>
    </row>
    <row r="65" spans="1:4">
      <c r="A65" s="114"/>
      <c r="B65" s="115"/>
      <c r="C65" s="116"/>
      <c r="D65" s="87"/>
    </row>
    <row r="66" spans="1:4" ht="16.5" customHeight="1"/>
  </sheetData>
  <mergeCells count="19">
    <mergeCell ref="F2:K3"/>
    <mergeCell ref="A1:D1"/>
    <mergeCell ref="C2:D2"/>
    <mergeCell ref="C3:D3"/>
    <mergeCell ref="C9:D9"/>
    <mergeCell ref="C4:D5"/>
    <mergeCell ref="C7:D8"/>
    <mergeCell ref="C6:D6"/>
    <mergeCell ref="A21:D21"/>
    <mergeCell ref="C10:D10"/>
    <mergeCell ref="C11:D12"/>
    <mergeCell ref="C13:D13"/>
    <mergeCell ref="C14:D14"/>
    <mergeCell ref="C15:D15"/>
    <mergeCell ref="C17:D17"/>
    <mergeCell ref="C18:D18"/>
    <mergeCell ref="C19:D19"/>
    <mergeCell ref="C20:D20"/>
    <mergeCell ref="C16:D1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51"/>
  <sheetViews>
    <sheetView zoomScale="130" zoomScaleNormal="130" zoomScaleSheetLayoutView="100" workbookViewId="0">
      <selection activeCell="C36" sqref="C36"/>
    </sheetView>
  </sheetViews>
  <sheetFormatPr defaultRowHeight="11.25"/>
  <cols>
    <col min="1" max="1" width="51.83203125" customWidth="1"/>
    <col min="2" max="2" width="10" customWidth="1"/>
    <col min="4" max="4" width="12.1640625" customWidth="1"/>
    <col min="11" max="11" width="11" customWidth="1"/>
  </cols>
  <sheetData>
    <row r="1" spans="1:11" ht="31.5" customHeight="1" thickBot="1">
      <c r="A1" s="984" t="s">
        <v>221</v>
      </c>
      <c r="B1" s="985"/>
      <c r="C1" s="985"/>
      <c r="D1" s="985"/>
    </row>
    <row r="2" spans="1:11" ht="11.25" customHeight="1">
      <c r="A2" s="132" t="s">
        <v>10</v>
      </c>
      <c r="B2" s="61">
        <v>1</v>
      </c>
      <c r="C2" s="895" t="s">
        <v>30</v>
      </c>
      <c r="D2" s="896"/>
      <c r="F2" s="871" t="s">
        <v>150</v>
      </c>
      <c r="G2" s="872"/>
      <c r="H2" s="872"/>
      <c r="I2" s="872"/>
      <c r="J2" s="872"/>
      <c r="K2" s="873"/>
    </row>
    <row r="3" spans="1:11" ht="12" thickBot="1">
      <c r="A3" s="134" t="s">
        <v>1</v>
      </c>
      <c r="B3" s="63">
        <v>1</v>
      </c>
      <c r="C3" s="976" t="s">
        <v>30</v>
      </c>
      <c r="D3" s="977"/>
      <c r="F3" s="874"/>
      <c r="G3" s="875"/>
      <c r="H3" s="875"/>
      <c r="I3" s="875"/>
      <c r="J3" s="875"/>
      <c r="K3" s="876"/>
    </row>
    <row r="4" spans="1:11">
      <c r="A4" s="151" t="s">
        <v>220</v>
      </c>
      <c r="B4" s="130">
        <v>1</v>
      </c>
      <c r="C4" s="978" t="s">
        <v>30</v>
      </c>
      <c r="D4" s="979"/>
    </row>
    <row r="5" spans="1:11">
      <c r="A5" s="143" t="s">
        <v>118</v>
      </c>
      <c r="B5" s="186">
        <v>0</v>
      </c>
      <c r="C5" s="980" t="s">
        <v>30</v>
      </c>
      <c r="D5" s="981"/>
    </row>
    <row r="6" spans="1:11" ht="12" thickBot="1">
      <c r="A6" s="134" t="s">
        <v>219</v>
      </c>
      <c r="B6" s="63">
        <v>0</v>
      </c>
      <c r="C6" s="974" t="s">
        <v>30</v>
      </c>
      <c r="D6" s="975"/>
    </row>
    <row r="7" spans="1:11">
      <c r="A7" s="132" t="s">
        <v>182</v>
      </c>
      <c r="B7" s="179">
        <v>0</v>
      </c>
      <c r="C7" s="978" t="s">
        <v>30</v>
      </c>
      <c r="D7" s="979"/>
    </row>
    <row r="8" spans="1:11">
      <c r="A8" s="185" t="s">
        <v>183</v>
      </c>
      <c r="B8" s="186">
        <v>1</v>
      </c>
      <c r="C8" s="980" t="s">
        <v>30</v>
      </c>
      <c r="D8" s="981"/>
    </row>
    <row r="9" spans="1:11" ht="12" thickBot="1">
      <c r="A9" s="134" t="s">
        <v>184</v>
      </c>
      <c r="B9" s="181">
        <v>0</v>
      </c>
      <c r="C9" s="974" t="s">
        <v>30</v>
      </c>
      <c r="D9" s="975"/>
    </row>
    <row r="10" spans="1:11" ht="12" thickBot="1">
      <c r="A10" s="190" t="s">
        <v>205</v>
      </c>
      <c r="B10" s="200">
        <v>1</v>
      </c>
      <c r="C10" s="982" t="s">
        <v>30</v>
      </c>
      <c r="D10" s="983"/>
    </row>
    <row r="11" spans="1:11" ht="12" thickBot="1">
      <c r="A11" s="190" t="s">
        <v>204</v>
      </c>
      <c r="B11" s="200">
        <v>1</v>
      </c>
      <c r="C11" s="982" t="s">
        <v>30</v>
      </c>
      <c r="D11" s="983"/>
    </row>
    <row r="12" spans="1:11" ht="12" thickBot="1">
      <c r="A12" s="190" t="s">
        <v>197</v>
      </c>
      <c r="B12" s="187">
        <v>1</v>
      </c>
      <c r="C12" s="982" t="s">
        <v>30</v>
      </c>
      <c r="D12" s="983"/>
    </row>
    <row r="13" spans="1:11" ht="12" thickBot="1">
      <c r="A13" s="994"/>
      <c r="B13" s="994"/>
      <c r="C13" s="994"/>
      <c r="D13" s="994"/>
    </row>
    <row r="14" spans="1:11" s="8" customFormat="1" ht="18" customHeight="1">
      <c r="A14" s="117" t="s">
        <v>5</v>
      </c>
      <c r="B14" s="118" t="s">
        <v>0</v>
      </c>
      <c r="C14" s="144" t="s">
        <v>4</v>
      </c>
      <c r="D14" s="67" t="s">
        <v>8</v>
      </c>
    </row>
    <row r="15" spans="1:11">
      <c r="A15" s="10" t="s">
        <v>153</v>
      </c>
      <c r="B15" s="136">
        <f>2*(B4+B6+B5)</f>
        <v>2</v>
      </c>
      <c r="C15" s="6"/>
      <c r="D15" s="4">
        <f t="shared" ref="D15:D38" si="0">C15*B15</f>
        <v>0</v>
      </c>
    </row>
    <row r="16" spans="1:11">
      <c r="A16" s="10" t="s">
        <v>156</v>
      </c>
      <c r="B16" s="136">
        <f>B2*(B4+B5+B6)</f>
        <v>1</v>
      </c>
      <c r="C16" s="6"/>
      <c r="D16" s="4">
        <f t="shared" si="0"/>
        <v>0</v>
      </c>
    </row>
    <row r="17" spans="1:6">
      <c r="A17" s="10" t="s">
        <v>157</v>
      </c>
      <c r="B17" s="136">
        <f>B16</f>
        <v>1</v>
      </c>
      <c r="C17" s="6"/>
      <c r="D17" s="4">
        <f t="shared" si="0"/>
        <v>0</v>
      </c>
    </row>
    <row r="18" spans="1:6">
      <c r="A18" s="11" t="s">
        <v>134</v>
      </c>
      <c r="B18" s="137">
        <f>(IF(B2&lt;=1,2,IF(B2&lt;=1.5,3,IF(B2&lt;=2,4,IF(B2&lt;=2.5,5,6)))))*(B4+B5+B6)</f>
        <v>2</v>
      </c>
      <c r="C18" s="7"/>
      <c r="D18" s="4">
        <f t="shared" si="0"/>
        <v>0</v>
      </c>
    </row>
    <row r="19" spans="1:6">
      <c r="A19" s="11" t="s">
        <v>135</v>
      </c>
      <c r="B19" s="137">
        <f>2*B4</f>
        <v>2</v>
      </c>
      <c r="C19" s="6"/>
      <c r="D19" s="4">
        <f t="shared" si="0"/>
        <v>0</v>
      </c>
    </row>
    <row r="20" spans="1:6">
      <c r="A20" s="11" t="s">
        <v>154</v>
      </c>
      <c r="B20" s="137">
        <f>2*(B5+B6)</f>
        <v>0</v>
      </c>
      <c r="C20" s="6"/>
      <c r="D20" s="4">
        <f t="shared" si="0"/>
        <v>0</v>
      </c>
    </row>
    <row r="21" spans="1:6">
      <c r="A21" s="11" t="s">
        <v>128</v>
      </c>
      <c r="B21" s="137">
        <f>B5+B6</f>
        <v>0</v>
      </c>
      <c r="C21" s="7"/>
      <c r="D21" s="4">
        <f t="shared" si="0"/>
        <v>0</v>
      </c>
    </row>
    <row r="22" spans="1:6">
      <c r="A22" s="11" t="s">
        <v>136</v>
      </c>
      <c r="B22" s="137">
        <f>B2*(B4+B5+B6)</f>
        <v>1</v>
      </c>
      <c r="C22" s="6"/>
      <c r="D22" s="4">
        <f t="shared" si="0"/>
        <v>0</v>
      </c>
    </row>
    <row r="23" spans="1:6">
      <c r="A23" s="11" t="s">
        <v>127</v>
      </c>
      <c r="B23" s="137">
        <f>B2*(B4+B5+B6)</f>
        <v>1</v>
      </c>
      <c r="C23" s="6"/>
      <c r="D23" s="4">
        <f t="shared" si="0"/>
        <v>0</v>
      </c>
    </row>
    <row r="24" spans="1:6">
      <c r="A24" s="11" t="s">
        <v>158</v>
      </c>
      <c r="B24" s="137">
        <f>B2*(B4+B5+B6)</f>
        <v>1</v>
      </c>
      <c r="C24" s="6"/>
      <c r="D24" s="4">
        <f t="shared" si="0"/>
        <v>0</v>
      </c>
    </row>
    <row r="25" spans="1:6">
      <c r="A25" s="11" t="s">
        <v>155</v>
      </c>
      <c r="B25" s="137">
        <f>B24</f>
        <v>1</v>
      </c>
      <c r="C25" s="6"/>
      <c r="D25" s="4">
        <f t="shared" si="0"/>
        <v>0</v>
      </c>
    </row>
    <row r="26" spans="1:6">
      <c r="A26" s="11" t="s">
        <v>151</v>
      </c>
      <c r="B26" s="137">
        <f>4*(B4+B5+B6)</f>
        <v>4</v>
      </c>
      <c r="C26" s="6"/>
      <c r="D26" s="4">
        <f t="shared" si="0"/>
        <v>0</v>
      </c>
    </row>
    <row r="27" spans="1:6">
      <c r="A27" s="11" t="s">
        <v>189</v>
      </c>
      <c r="B27" s="137">
        <f>B2*B4</f>
        <v>1</v>
      </c>
      <c r="C27" s="9"/>
      <c r="D27" s="178">
        <f t="shared" si="0"/>
        <v>0</v>
      </c>
    </row>
    <row r="28" spans="1:6">
      <c r="A28" s="10" t="s">
        <v>166</v>
      </c>
      <c r="B28" s="137">
        <f>B2*B5</f>
        <v>0</v>
      </c>
      <c r="C28" s="6"/>
      <c r="D28" s="178">
        <f t="shared" si="0"/>
        <v>0</v>
      </c>
    </row>
    <row r="29" spans="1:6">
      <c r="A29" s="11" t="s">
        <v>190</v>
      </c>
      <c r="B29" s="137">
        <f>B2*B6</f>
        <v>0</v>
      </c>
      <c r="C29" s="6"/>
      <c r="D29" s="178">
        <f t="shared" si="0"/>
        <v>0</v>
      </c>
      <c r="E29" s="87"/>
      <c r="F29" s="87"/>
    </row>
    <row r="30" spans="1:6">
      <c r="A30" s="11" t="s">
        <v>198</v>
      </c>
      <c r="B30" s="137">
        <f>B4+B5</f>
        <v>1</v>
      </c>
      <c r="C30" s="7"/>
      <c r="D30" s="178">
        <f t="shared" si="0"/>
        <v>0</v>
      </c>
    </row>
    <row r="31" spans="1:6">
      <c r="A31" s="11" t="s">
        <v>199</v>
      </c>
      <c r="B31" s="137">
        <f>B8</f>
        <v>1</v>
      </c>
      <c r="C31" s="7"/>
      <c r="D31" s="178">
        <f t="shared" si="0"/>
        <v>0</v>
      </c>
    </row>
    <row r="32" spans="1:6">
      <c r="A32" s="11" t="s">
        <v>200</v>
      </c>
      <c r="B32" s="137">
        <f>B7</f>
        <v>0</v>
      </c>
      <c r="C32" s="7"/>
      <c r="D32" s="178">
        <f t="shared" si="0"/>
        <v>0</v>
      </c>
    </row>
    <row r="33" spans="1:4">
      <c r="A33" s="11" t="s">
        <v>201</v>
      </c>
      <c r="B33" s="137">
        <f>B9</f>
        <v>0</v>
      </c>
      <c r="C33" s="7"/>
      <c r="D33" s="178">
        <f t="shared" si="0"/>
        <v>0</v>
      </c>
    </row>
    <row r="34" spans="1:4">
      <c r="A34" s="11" t="s">
        <v>192</v>
      </c>
      <c r="B34" s="137">
        <f>B4</f>
        <v>1</v>
      </c>
      <c r="C34" s="7"/>
      <c r="D34" s="178">
        <f t="shared" si="0"/>
        <v>0</v>
      </c>
    </row>
    <row r="35" spans="1:4">
      <c r="A35" s="11" t="s">
        <v>193</v>
      </c>
      <c r="B35" s="137">
        <f>B5</f>
        <v>0</v>
      </c>
      <c r="C35" s="7"/>
      <c r="D35" s="178">
        <f t="shared" si="0"/>
        <v>0</v>
      </c>
    </row>
    <row r="36" spans="1:4">
      <c r="A36" s="11" t="s">
        <v>194</v>
      </c>
      <c r="B36" s="137">
        <f>B6</f>
        <v>0</v>
      </c>
      <c r="C36" s="7"/>
      <c r="D36" s="178">
        <f t="shared" si="0"/>
        <v>0</v>
      </c>
    </row>
    <row r="37" spans="1:4">
      <c r="A37" s="11" t="s">
        <v>195</v>
      </c>
      <c r="B37" s="137">
        <f>B6</f>
        <v>0</v>
      </c>
      <c r="C37" s="7"/>
      <c r="D37" s="178">
        <f t="shared" si="0"/>
        <v>0</v>
      </c>
    </row>
    <row r="38" spans="1:4">
      <c r="A38" s="11" t="s">
        <v>196</v>
      </c>
      <c r="B38" s="137">
        <f>B6</f>
        <v>0</v>
      </c>
      <c r="C38" s="7"/>
      <c r="D38" s="178">
        <f t="shared" si="0"/>
        <v>0</v>
      </c>
    </row>
    <row r="39" spans="1:4">
      <c r="A39" s="201" t="s">
        <v>203</v>
      </c>
      <c r="B39" s="202">
        <f>B11</f>
        <v>1</v>
      </c>
      <c r="C39" s="203"/>
      <c r="D39" s="204">
        <f>B39*C39</f>
        <v>0</v>
      </c>
    </row>
    <row r="40" spans="1:4">
      <c r="A40" s="201" t="s">
        <v>206</v>
      </c>
      <c r="B40" s="202">
        <f>B10</f>
        <v>1</v>
      </c>
      <c r="C40" s="203"/>
      <c r="D40" s="204">
        <f>B40*C40</f>
        <v>0</v>
      </c>
    </row>
    <row r="41" spans="1:4" ht="12" thickBot="1">
      <c r="A41" s="36" t="s">
        <v>169</v>
      </c>
      <c r="B41" s="145">
        <f>B12</f>
        <v>1</v>
      </c>
      <c r="C41" s="146"/>
      <c r="D41" s="5">
        <f>B41*C41</f>
        <v>0</v>
      </c>
    </row>
    <row r="42" spans="1:4" ht="12.75">
      <c r="C42" s="2" t="s">
        <v>9</v>
      </c>
      <c r="D42">
        <f>SUM(D16:D39)</f>
        <v>0</v>
      </c>
    </row>
    <row r="48" spans="1:4">
      <c r="A48" s="114"/>
      <c r="B48" s="115"/>
      <c r="C48" s="116"/>
      <c r="D48" s="87"/>
    </row>
    <row r="49" spans="1:4">
      <c r="A49" s="114"/>
      <c r="B49" s="115"/>
      <c r="C49" s="116"/>
      <c r="D49" s="87"/>
    </row>
    <row r="50" spans="1:4">
      <c r="A50" s="114"/>
      <c r="B50" s="115"/>
      <c r="C50" s="116"/>
      <c r="D50" s="87"/>
    </row>
    <row r="51" spans="1:4" ht="16.5" customHeight="1"/>
  </sheetData>
  <mergeCells count="14">
    <mergeCell ref="C6:D6"/>
    <mergeCell ref="C12:D12"/>
    <mergeCell ref="A13:D13"/>
    <mergeCell ref="F2:K3"/>
    <mergeCell ref="A1:D1"/>
    <mergeCell ref="C2:D2"/>
    <mergeCell ref="C3:D3"/>
    <mergeCell ref="C4:D4"/>
    <mergeCell ref="C7:D7"/>
    <mergeCell ref="C8:D8"/>
    <mergeCell ref="C9:D9"/>
    <mergeCell ref="C10:D10"/>
    <mergeCell ref="C11:D11"/>
    <mergeCell ref="C5:D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59"/>
  <sheetViews>
    <sheetView topLeftCell="A22" zoomScale="123" zoomScaleNormal="130" zoomScaleSheetLayoutView="100" workbookViewId="0">
      <selection activeCell="A56" sqref="A56:A58"/>
    </sheetView>
  </sheetViews>
  <sheetFormatPr defaultRowHeight="11.25"/>
  <cols>
    <col min="1" max="1" width="56.1640625" bestFit="1" customWidth="1"/>
    <col min="2" max="2" width="10" customWidth="1"/>
    <col min="4" max="4" width="18.832031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4" ht="27" thickBot="1">
      <c r="A1" s="984" t="s">
        <v>222</v>
      </c>
      <c r="B1" s="985"/>
      <c r="C1" s="985"/>
      <c r="D1" s="985"/>
    </row>
    <row r="2" spans="1:4">
      <c r="A2" s="132" t="s">
        <v>10</v>
      </c>
      <c r="B2" s="179">
        <v>1</v>
      </c>
      <c r="C2" s="895" t="s">
        <v>30</v>
      </c>
      <c r="D2" s="896"/>
    </row>
    <row r="3" spans="1:4" ht="12" thickBot="1">
      <c r="A3" s="143" t="s">
        <v>1</v>
      </c>
      <c r="B3" s="182">
        <v>1</v>
      </c>
      <c r="C3" s="986" t="s">
        <v>30</v>
      </c>
      <c r="D3" s="987"/>
    </row>
    <row r="4" spans="1:4">
      <c r="A4" s="140" t="s">
        <v>212</v>
      </c>
      <c r="B4" s="179">
        <v>1</v>
      </c>
      <c r="C4" s="992" t="s">
        <v>209</v>
      </c>
      <c r="D4" s="993"/>
    </row>
    <row r="5" spans="1:4">
      <c r="A5" s="139" t="s">
        <v>213</v>
      </c>
      <c r="B5" s="180">
        <v>1</v>
      </c>
      <c r="C5" s="988"/>
      <c r="D5" s="989"/>
    </row>
    <row r="6" spans="1:4" ht="12" thickBot="1">
      <c r="A6" s="142" t="s">
        <v>218</v>
      </c>
      <c r="B6" s="181">
        <v>0</v>
      </c>
      <c r="C6" s="980" t="s">
        <v>30</v>
      </c>
      <c r="D6" s="981"/>
    </row>
    <row r="7" spans="1:4">
      <c r="A7" s="140" t="s">
        <v>214</v>
      </c>
      <c r="B7" s="183">
        <v>0</v>
      </c>
      <c r="C7" s="992" t="s">
        <v>209</v>
      </c>
      <c r="D7" s="993"/>
    </row>
    <row r="8" spans="1:4" ht="16.5" customHeight="1">
      <c r="A8" s="139" t="s">
        <v>215</v>
      </c>
      <c r="B8" s="182">
        <v>1</v>
      </c>
      <c r="C8" s="988"/>
      <c r="D8" s="989"/>
    </row>
    <row r="9" spans="1:4">
      <c r="A9" s="139" t="s">
        <v>217</v>
      </c>
      <c r="B9" s="182">
        <v>0</v>
      </c>
      <c r="C9" s="980" t="s">
        <v>30</v>
      </c>
      <c r="D9" s="981"/>
    </row>
    <row r="10" spans="1:4" ht="12" thickBot="1">
      <c r="A10" s="139" t="s">
        <v>216</v>
      </c>
      <c r="B10" s="182">
        <v>0</v>
      </c>
      <c r="C10" s="990" t="s">
        <v>30</v>
      </c>
      <c r="D10" s="991"/>
    </row>
    <row r="11" spans="1:4">
      <c r="A11" s="140" t="s">
        <v>210</v>
      </c>
      <c r="B11" s="183">
        <v>0</v>
      </c>
      <c r="C11" s="992" t="s">
        <v>209</v>
      </c>
      <c r="D11" s="993"/>
    </row>
    <row r="12" spans="1:4">
      <c r="A12" s="139" t="s">
        <v>211</v>
      </c>
      <c r="B12" s="182">
        <v>0</v>
      </c>
      <c r="C12" s="988"/>
      <c r="D12" s="989"/>
    </row>
    <row r="13" spans="1:4">
      <c r="A13" s="139" t="s">
        <v>217</v>
      </c>
      <c r="B13" s="182">
        <v>0</v>
      </c>
      <c r="C13" s="980" t="s">
        <v>30</v>
      </c>
      <c r="D13" s="981"/>
    </row>
    <row r="14" spans="1:4" ht="12" thickBot="1">
      <c r="A14" s="139" t="s">
        <v>216</v>
      </c>
      <c r="B14" s="182">
        <v>0</v>
      </c>
      <c r="C14" s="990" t="s">
        <v>30</v>
      </c>
      <c r="D14" s="991"/>
    </row>
    <row r="15" spans="1:4">
      <c r="A15" s="140" t="s">
        <v>182</v>
      </c>
      <c r="B15" s="179">
        <v>0</v>
      </c>
      <c r="C15" s="978" t="s">
        <v>30</v>
      </c>
      <c r="D15" s="979"/>
    </row>
    <row r="16" spans="1:4">
      <c r="A16" s="205" t="s">
        <v>183</v>
      </c>
      <c r="B16" s="186">
        <v>0</v>
      </c>
      <c r="C16" s="980" t="s">
        <v>30</v>
      </c>
      <c r="D16" s="981"/>
    </row>
    <row r="17" spans="1:4" ht="12" thickBot="1">
      <c r="A17" s="142" t="s">
        <v>184</v>
      </c>
      <c r="B17" s="181">
        <v>0</v>
      </c>
      <c r="C17" s="974" t="s">
        <v>30</v>
      </c>
      <c r="D17" s="975"/>
    </row>
    <row r="18" spans="1:4" ht="12" thickBot="1">
      <c r="A18" s="206" t="s">
        <v>205</v>
      </c>
      <c r="B18" s="200">
        <v>1</v>
      </c>
      <c r="C18" s="982" t="s">
        <v>30</v>
      </c>
      <c r="D18" s="983"/>
    </row>
    <row r="19" spans="1:4" ht="12" thickBot="1">
      <c r="A19" s="206" t="s">
        <v>204</v>
      </c>
      <c r="B19" s="200">
        <v>1</v>
      </c>
      <c r="C19" s="982" t="s">
        <v>30</v>
      </c>
      <c r="D19" s="983"/>
    </row>
    <row r="20" spans="1:4" ht="12" thickBot="1">
      <c r="A20" s="206" t="s">
        <v>197</v>
      </c>
      <c r="B20" s="187">
        <v>1</v>
      </c>
      <c r="C20" s="982" t="s">
        <v>30</v>
      </c>
      <c r="D20" s="983"/>
    </row>
    <row r="21" spans="1:4" ht="12" thickBot="1">
      <c r="A21" s="973"/>
      <c r="B21" s="973"/>
      <c r="C21" s="973"/>
      <c r="D21" s="973"/>
    </row>
    <row r="22" spans="1:4" ht="12.75">
      <c r="A22" s="117" t="s">
        <v>5</v>
      </c>
      <c r="B22" s="118" t="s">
        <v>0</v>
      </c>
      <c r="C22" s="144" t="s">
        <v>4</v>
      </c>
      <c r="D22" s="67" t="s">
        <v>8</v>
      </c>
    </row>
    <row r="23" spans="1:4">
      <c r="A23" s="10" t="s">
        <v>153</v>
      </c>
      <c r="B23" s="136">
        <f>2*(B4+B5+B7+B8+B11+B12)</f>
        <v>6</v>
      </c>
      <c r="C23" s="6"/>
      <c r="D23" s="178">
        <f t="shared" ref="D23:D55" si="0">C23*B23</f>
        <v>0</v>
      </c>
    </row>
    <row r="24" spans="1:4">
      <c r="A24" s="10" t="s">
        <v>156</v>
      </c>
      <c r="B24" s="136">
        <f>B2*(B4+B5+B7+B8+B11+B12)</f>
        <v>3</v>
      </c>
      <c r="C24" s="6"/>
      <c r="D24" s="178">
        <f t="shared" si="0"/>
        <v>0</v>
      </c>
    </row>
    <row r="25" spans="1:4">
      <c r="A25" s="10" t="s">
        <v>157</v>
      </c>
      <c r="B25" s="136">
        <f>B24</f>
        <v>3</v>
      </c>
      <c r="C25" s="6"/>
      <c r="D25" s="178">
        <f t="shared" si="0"/>
        <v>0</v>
      </c>
    </row>
    <row r="26" spans="1:4">
      <c r="A26" s="10" t="s">
        <v>146</v>
      </c>
      <c r="B26" s="136">
        <f>(IF(B2&lt;=1,2,IF(B2&lt;=1.5,3,IF(B2&lt;=2,4,IF(B2&lt;=2.5,5,6)))))*(B4+B5)-B28</f>
        <v>4</v>
      </c>
      <c r="C26" s="6"/>
      <c r="D26" s="178">
        <f t="shared" si="0"/>
        <v>0</v>
      </c>
    </row>
    <row r="27" spans="1:4">
      <c r="A27" s="10" t="s">
        <v>147</v>
      </c>
      <c r="B27" s="136">
        <f>(IF(B2&lt;=1,2,IF(B2&lt;=1.5,3,IF(B2&lt;=2,4,IF(B2&lt;=2.5,5,6)))))*(B8+B7+B11+B12)-B29-B14</f>
        <v>2</v>
      </c>
      <c r="C27" s="6"/>
      <c r="D27" s="178">
        <f t="shared" si="0"/>
        <v>0</v>
      </c>
    </row>
    <row r="28" spans="1:4">
      <c r="A28" s="10" t="s">
        <v>149</v>
      </c>
      <c r="B28" s="136">
        <f>(IF(B2&lt;=1,2,IF(B2&lt;=1.5,3,IF(B2&lt;=2,4,IF(B2&lt;=2.5,5,6)))))*(B6)</f>
        <v>0</v>
      </c>
      <c r="C28" s="6"/>
      <c r="D28" s="178">
        <f t="shared" si="0"/>
        <v>0</v>
      </c>
    </row>
    <row r="29" spans="1:4">
      <c r="A29" s="10" t="s">
        <v>148</v>
      </c>
      <c r="B29" s="136">
        <f>(IF(B2&lt;=1,2,IF(B2&lt;=1.5,3,IF(B2&lt;=2,4,IF(B2&lt;=2.5,5,6)))))*(B10+B14)</f>
        <v>0</v>
      </c>
      <c r="C29" s="6"/>
      <c r="D29" s="178">
        <f t="shared" si="0"/>
        <v>0</v>
      </c>
    </row>
    <row r="30" spans="1:4">
      <c r="A30" s="10" t="s">
        <v>50</v>
      </c>
      <c r="B30" s="136">
        <f>B2*2*(B5+B8+B12)</f>
        <v>4</v>
      </c>
      <c r="C30" s="6"/>
      <c r="D30" s="178">
        <f t="shared" si="0"/>
        <v>0</v>
      </c>
    </row>
    <row r="31" spans="1:4">
      <c r="A31" s="11" t="s">
        <v>139</v>
      </c>
      <c r="B31" s="137">
        <f>B4+B5</f>
        <v>2</v>
      </c>
      <c r="C31" s="7"/>
      <c r="D31" s="178">
        <f t="shared" si="0"/>
        <v>0</v>
      </c>
    </row>
    <row r="32" spans="1:4">
      <c r="A32" s="10" t="s">
        <v>137</v>
      </c>
      <c r="B32" s="136">
        <f>(B7+B8+B11+B12)-B9-B13</f>
        <v>1</v>
      </c>
      <c r="C32" s="6"/>
      <c r="D32" s="178">
        <f t="shared" si="0"/>
        <v>0</v>
      </c>
    </row>
    <row r="33" spans="1:4">
      <c r="A33" s="10" t="s">
        <v>138</v>
      </c>
      <c r="B33" s="136">
        <f>B9+B13</f>
        <v>0</v>
      </c>
      <c r="C33" s="6"/>
      <c r="D33" s="178">
        <f t="shared" si="0"/>
        <v>0</v>
      </c>
    </row>
    <row r="34" spans="1:4">
      <c r="A34" s="11" t="s">
        <v>300</v>
      </c>
      <c r="B34" s="136">
        <f>B5+B4</f>
        <v>2</v>
      </c>
      <c r="C34" s="6"/>
      <c r="D34" s="259">
        <v>0</v>
      </c>
    </row>
    <row r="35" spans="1:4">
      <c r="A35" s="11" t="s">
        <v>136</v>
      </c>
      <c r="B35" s="136">
        <f>B2*(B4+B5+B7+B8+B11+B12)</f>
        <v>3</v>
      </c>
      <c r="C35" s="6"/>
      <c r="D35" s="178">
        <f t="shared" si="0"/>
        <v>0</v>
      </c>
    </row>
    <row r="36" spans="1:4">
      <c r="A36" s="11" t="s">
        <v>158</v>
      </c>
      <c r="B36" s="137">
        <f>B2*(B4+B5+B7+B8+B11+B12)</f>
        <v>3</v>
      </c>
      <c r="C36" s="6"/>
      <c r="D36" s="178">
        <f t="shared" si="0"/>
        <v>0</v>
      </c>
    </row>
    <row r="37" spans="1:4">
      <c r="A37" s="11" t="s">
        <v>155</v>
      </c>
      <c r="B37" s="137">
        <f>B36</f>
        <v>3</v>
      </c>
      <c r="C37" s="6"/>
      <c r="D37" s="178">
        <f t="shared" si="0"/>
        <v>0</v>
      </c>
    </row>
    <row r="38" spans="1:4">
      <c r="A38" s="10" t="s">
        <v>142</v>
      </c>
      <c r="B38" s="136">
        <f>B2*B4</f>
        <v>1</v>
      </c>
      <c r="C38" s="6"/>
      <c r="D38" s="178">
        <f t="shared" si="0"/>
        <v>0</v>
      </c>
    </row>
    <row r="39" spans="1:4">
      <c r="A39" s="10" t="s">
        <v>143</v>
      </c>
      <c r="B39" s="136">
        <f>B2*B5</f>
        <v>1</v>
      </c>
      <c r="C39" s="6"/>
      <c r="D39" s="178">
        <f t="shared" si="0"/>
        <v>0</v>
      </c>
    </row>
    <row r="40" spans="1:4">
      <c r="A40" s="10" t="s">
        <v>144</v>
      </c>
      <c r="B40" s="136">
        <f>B2*(B7+B11)</f>
        <v>0</v>
      </c>
      <c r="C40" s="6"/>
      <c r="D40" s="178">
        <f t="shared" si="0"/>
        <v>0</v>
      </c>
    </row>
    <row r="41" spans="1:4">
      <c r="A41" s="10" t="s">
        <v>145</v>
      </c>
      <c r="B41" s="136">
        <f>B2*(B12+B8)</f>
        <v>1</v>
      </c>
      <c r="C41" s="6"/>
      <c r="D41" s="178">
        <f t="shared" si="0"/>
        <v>0</v>
      </c>
    </row>
    <row r="42" spans="1:4">
      <c r="A42" s="10" t="s">
        <v>140</v>
      </c>
      <c r="B42" s="136">
        <f>B2*(B4+B5)</f>
        <v>2</v>
      </c>
      <c r="C42" s="6"/>
      <c r="D42" s="178">
        <f t="shared" si="0"/>
        <v>0</v>
      </c>
    </row>
    <row r="43" spans="1:4">
      <c r="A43" s="10" t="s">
        <v>141</v>
      </c>
      <c r="B43" s="136">
        <f>B2*(B7+B8+B11+B12)</f>
        <v>1</v>
      </c>
      <c r="C43" s="6"/>
      <c r="D43" s="178">
        <f t="shared" si="0"/>
        <v>0</v>
      </c>
    </row>
    <row r="44" spans="1:4">
      <c r="A44" s="11" t="s">
        <v>189</v>
      </c>
      <c r="B44" s="137">
        <f>B2*(B4+B5)</f>
        <v>2</v>
      </c>
      <c r="C44" s="9"/>
      <c r="D44" s="178">
        <f t="shared" si="0"/>
        <v>0</v>
      </c>
    </row>
    <row r="45" spans="1:4">
      <c r="A45" s="10" t="s">
        <v>166</v>
      </c>
      <c r="B45" s="137">
        <f>B2*(B7+B8)</f>
        <v>1</v>
      </c>
      <c r="C45" s="6"/>
      <c r="D45" s="178">
        <f t="shared" si="0"/>
        <v>0</v>
      </c>
    </row>
    <row r="46" spans="1:4">
      <c r="A46" s="11" t="s">
        <v>190</v>
      </c>
      <c r="B46" s="137">
        <f>B2*(B11+B12)</f>
        <v>0</v>
      </c>
      <c r="C46" s="6"/>
      <c r="D46" s="178">
        <f t="shared" si="0"/>
        <v>0</v>
      </c>
    </row>
    <row r="47" spans="1:4">
      <c r="A47" s="11" t="s">
        <v>198</v>
      </c>
      <c r="B47" s="137">
        <f>B4+B5+B7+B8</f>
        <v>3</v>
      </c>
      <c r="C47" s="7"/>
      <c r="D47" s="178">
        <f t="shared" si="0"/>
        <v>0</v>
      </c>
    </row>
    <row r="48" spans="1:4">
      <c r="A48" s="11" t="s">
        <v>199</v>
      </c>
      <c r="B48" s="137">
        <f>B16</f>
        <v>0</v>
      </c>
      <c r="C48" s="7"/>
      <c r="D48" s="178">
        <f t="shared" si="0"/>
        <v>0</v>
      </c>
    </row>
    <row r="49" spans="1:4">
      <c r="A49" s="11" t="s">
        <v>200</v>
      </c>
      <c r="B49" s="137">
        <f>B15</f>
        <v>0</v>
      </c>
      <c r="C49" s="7"/>
      <c r="D49" s="178">
        <f t="shared" si="0"/>
        <v>0</v>
      </c>
    </row>
    <row r="50" spans="1:4">
      <c r="A50" s="11" t="s">
        <v>201</v>
      </c>
      <c r="B50" s="137">
        <f>B17</f>
        <v>0</v>
      </c>
      <c r="C50" s="7"/>
      <c r="D50" s="178">
        <f t="shared" si="0"/>
        <v>0</v>
      </c>
    </row>
    <row r="51" spans="1:4">
      <c r="A51" s="11" t="s">
        <v>192</v>
      </c>
      <c r="B51" s="137">
        <f>B4+B5</f>
        <v>2</v>
      </c>
      <c r="C51" s="7"/>
      <c r="D51" s="178">
        <f t="shared" si="0"/>
        <v>0</v>
      </c>
    </row>
    <row r="52" spans="1:4">
      <c r="A52" s="11" t="s">
        <v>193</v>
      </c>
      <c r="B52" s="137">
        <f>B7+B8</f>
        <v>1</v>
      </c>
      <c r="C52" s="7"/>
      <c r="D52" s="178">
        <f t="shared" si="0"/>
        <v>0</v>
      </c>
    </row>
    <row r="53" spans="1:4">
      <c r="A53" s="11" t="s">
        <v>194</v>
      </c>
      <c r="B53" s="137">
        <f>B11+B12</f>
        <v>0</v>
      </c>
      <c r="C53" s="7"/>
      <c r="D53" s="178">
        <f t="shared" si="0"/>
        <v>0</v>
      </c>
    </row>
    <row r="54" spans="1:4">
      <c r="A54" s="11" t="s">
        <v>195</v>
      </c>
      <c r="B54" s="137">
        <f>B11+B12</f>
        <v>0</v>
      </c>
      <c r="C54" s="7"/>
      <c r="D54" s="178">
        <f t="shared" si="0"/>
        <v>0</v>
      </c>
    </row>
    <row r="55" spans="1:4">
      <c r="A55" s="11" t="s">
        <v>196</v>
      </c>
      <c r="B55" s="137">
        <f>B11+B12</f>
        <v>0</v>
      </c>
      <c r="C55" s="7"/>
      <c r="D55" s="178">
        <f t="shared" si="0"/>
        <v>0</v>
      </c>
    </row>
    <row r="56" spans="1:4">
      <c r="A56" s="201" t="s">
        <v>203</v>
      </c>
      <c r="B56" s="202">
        <f>B19</f>
        <v>1</v>
      </c>
      <c r="C56" s="203"/>
      <c r="D56" s="204">
        <f>B56*C56</f>
        <v>0</v>
      </c>
    </row>
    <row r="57" spans="1:4">
      <c r="A57" s="201" t="s">
        <v>206</v>
      </c>
      <c r="B57" s="202">
        <f>B18</f>
        <v>1</v>
      </c>
      <c r="C57" s="203"/>
      <c r="D57" s="204">
        <f>B57*C57</f>
        <v>0</v>
      </c>
    </row>
    <row r="58" spans="1:4" ht="12" thickBot="1">
      <c r="A58" s="36" t="s">
        <v>169</v>
      </c>
      <c r="B58" s="145">
        <f>B20</f>
        <v>1</v>
      </c>
      <c r="C58" s="146"/>
      <c r="D58" s="5">
        <f>B58*C58</f>
        <v>0</v>
      </c>
    </row>
    <row r="59" spans="1:4" ht="12.75">
      <c r="C59" s="2" t="s">
        <v>9</v>
      </c>
      <c r="D59">
        <f>SUM(D23:D58)</f>
        <v>0</v>
      </c>
    </row>
  </sheetData>
  <mergeCells count="18">
    <mergeCell ref="C19:D19"/>
    <mergeCell ref="C20:D20"/>
    <mergeCell ref="A21:D21"/>
    <mergeCell ref="C14:D14"/>
    <mergeCell ref="C15:D15"/>
    <mergeCell ref="C16:D16"/>
    <mergeCell ref="C17:D17"/>
    <mergeCell ref="C18:D18"/>
    <mergeCell ref="C7:D8"/>
    <mergeCell ref="C9:D9"/>
    <mergeCell ref="C10:D10"/>
    <mergeCell ref="C11:D12"/>
    <mergeCell ref="C13:D13"/>
    <mergeCell ref="A1:D1"/>
    <mergeCell ref="C2:D2"/>
    <mergeCell ref="C3:D3"/>
    <mergeCell ref="C4:D5"/>
    <mergeCell ref="C6:D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42"/>
  <sheetViews>
    <sheetView topLeftCell="A10" zoomScale="130" zoomScaleNormal="130" zoomScaleSheetLayoutView="100" workbookViewId="0">
      <selection activeCell="A32" sqref="A32:XFD32"/>
    </sheetView>
  </sheetViews>
  <sheetFormatPr defaultRowHeight="11.25"/>
  <cols>
    <col min="1" max="1" width="51.83203125" customWidth="1"/>
    <col min="2" max="2" width="10" customWidth="1"/>
    <col min="4" max="4" width="21.1640625" customWidth="1"/>
    <col min="11" max="11" width="11" customWidth="1"/>
  </cols>
  <sheetData>
    <row r="1" spans="1:11" ht="48.75" customHeight="1" thickBot="1">
      <c r="A1" s="995" t="s">
        <v>225</v>
      </c>
      <c r="B1" s="985"/>
      <c r="C1" s="985"/>
      <c r="D1" s="985"/>
    </row>
    <row r="2" spans="1:11" ht="11.25" customHeight="1">
      <c r="A2" s="132" t="s">
        <v>10</v>
      </c>
      <c r="B2" s="61">
        <v>1</v>
      </c>
      <c r="C2" s="895" t="s">
        <v>30</v>
      </c>
      <c r="D2" s="896"/>
      <c r="F2" s="871" t="s">
        <v>150</v>
      </c>
      <c r="G2" s="872"/>
      <c r="H2" s="872"/>
      <c r="I2" s="872"/>
      <c r="J2" s="872"/>
      <c r="K2" s="873"/>
    </row>
    <row r="3" spans="1:11" ht="12" thickBot="1">
      <c r="A3" s="134" t="s">
        <v>1</v>
      </c>
      <c r="B3" s="63">
        <v>1</v>
      </c>
      <c r="C3" s="976" t="s">
        <v>30</v>
      </c>
      <c r="D3" s="977"/>
      <c r="F3" s="874"/>
      <c r="G3" s="875"/>
      <c r="H3" s="875"/>
      <c r="I3" s="875"/>
      <c r="J3" s="875"/>
      <c r="K3" s="876"/>
    </row>
    <row r="4" spans="1:11">
      <c r="A4" s="151" t="s">
        <v>223</v>
      </c>
      <c r="B4" s="130">
        <v>1</v>
      </c>
      <c r="C4" s="996" t="s">
        <v>30</v>
      </c>
      <c r="D4" s="997"/>
    </row>
    <row r="5" spans="1:11" ht="12" thickBot="1">
      <c r="A5" s="151" t="s">
        <v>224</v>
      </c>
      <c r="B5" s="196">
        <v>1</v>
      </c>
      <c r="C5" s="980" t="s">
        <v>30</v>
      </c>
      <c r="D5" s="981"/>
    </row>
    <row r="6" spans="1:11">
      <c r="A6" s="132" t="s">
        <v>182</v>
      </c>
      <c r="B6" s="192">
        <v>0</v>
      </c>
      <c r="C6" s="978" t="s">
        <v>30</v>
      </c>
      <c r="D6" s="979"/>
    </row>
    <row r="7" spans="1:11">
      <c r="A7" s="185" t="s">
        <v>183</v>
      </c>
      <c r="B7" s="186">
        <v>0</v>
      </c>
      <c r="C7" s="980" t="s">
        <v>30</v>
      </c>
      <c r="D7" s="981"/>
    </row>
    <row r="8" spans="1:11" ht="12" thickBot="1">
      <c r="A8" s="134" t="s">
        <v>184</v>
      </c>
      <c r="B8" s="195">
        <v>0</v>
      </c>
      <c r="C8" s="974" t="s">
        <v>30</v>
      </c>
      <c r="D8" s="975"/>
    </row>
    <row r="9" spans="1:11" ht="12" thickBot="1">
      <c r="A9" s="190" t="s">
        <v>205</v>
      </c>
      <c r="B9" s="200">
        <v>1</v>
      </c>
      <c r="C9" s="982" t="s">
        <v>30</v>
      </c>
      <c r="D9" s="983"/>
    </row>
    <row r="10" spans="1:11" ht="12" thickBot="1">
      <c r="A10" s="190" t="s">
        <v>204</v>
      </c>
      <c r="B10" s="200">
        <v>1</v>
      </c>
      <c r="C10" s="982" t="s">
        <v>30</v>
      </c>
      <c r="D10" s="983"/>
    </row>
    <row r="11" spans="1:11" ht="12" thickBot="1">
      <c r="A11" s="190" t="s">
        <v>197</v>
      </c>
      <c r="B11" s="187">
        <v>1</v>
      </c>
      <c r="C11" s="982" t="s">
        <v>30</v>
      </c>
      <c r="D11" s="983"/>
    </row>
    <row r="12" spans="1:11" ht="12" thickBot="1">
      <c r="A12" s="994"/>
      <c r="B12" s="994"/>
      <c r="C12" s="994"/>
      <c r="D12" s="994"/>
    </row>
    <row r="13" spans="1:11" s="8" customFormat="1" ht="18" customHeight="1">
      <c r="A13" s="117" t="s">
        <v>5</v>
      </c>
      <c r="B13" s="118" t="s">
        <v>0</v>
      </c>
      <c r="C13" s="144" t="s">
        <v>4</v>
      </c>
      <c r="D13" s="67" t="s">
        <v>8</v>
      </c>
    </row>
    <row r="14" spans="1:11">
      <c r="A14" s="10" t="s">
        <v>122</v>
      </c>
      <c r="B14" s="136">
        <f>4*(B4+B5)</f>
        <v>8</v>
      </c>
      <c r="C14" s="6"/>
      <c r="D14" s="4">
        <f t="shared" ref="D14:D29" si="0">C14*B14</f>
        <v>0</v>
      </c>
    </row>
    <row r="15" spans="1:11">
      <c r="A15" s="11" t="s">
        <v>159</v>
      </c>
      <c r="B15" s="147">
        <f>(B4+B5)</f>
        <v>2</v>
      </c>
      <c r="C15" s="148"/>
      <c r="D15" s="4">
        <f t="shared" si="0"/>
        <v>0</v>
      </c>
    </row>
    <row r="16" spans="1:11">
      <c r="A16" s="10" t="s">
        <v>160</v>
      </c>
      <c r="B16" s="136">
        <f>B15</f>
        <v>2</v>
      </c>
      <c r="C16" s="149"/>
      <c r="D16" s="4">
        <f t="shared" si="0"/>
        <v>0</v>
      </c>
      <c r="E16" s="87"/>
      <c r="F16" s="87"/>
    </row>
    <row r="17" spans="1:4">
      <c r="A17" s="11" t="s">
        <v>136</v>
      </c>
      <c r="B17" s="137">
        <f>2*B2*(B4+B5)</f>
        <v>4</v>
      </c>
      <c r="C17" s="6"/>
      <c r="D17" s="4">
        <f t="shared" si="0"/>
        <v>0</v>
      </c>
    </row>
    <row r="18" spans="1:4">
      <c r="A18" s="10" t="s">
        <v>124</v>
      </c>
      <c r="B18" s="136">
        <f>B17</f>
        <v>4</v>
      </c>
      <c r="C18" s="6"/>
      <c r="D18" s="4">
        <f t="shared" si="0"/>
        <v>0</v>
      </c>
    </row>
    <row r="19" spans="1:4">
      <c r="A19" s="11" t="s">
        <v>123</v>
      </c>
      <c r="B19" s="137">
        <f>2*B2*(B4+B5)</f>
        <v>4</v>
      </c>
      <c r="C19" s="6"/>
      <c r="D19" s="4">
        <f t="shared" si="0"/>
        <v>0</v>
      </c>
    </row>
    <row r="20" spans="1:4">
      <c r="A20" s="10" t="s">
        <v>166</v>
      </c>
      <c r="B20" s="136">
        <f>B2*B4*2</f>
        <v>2</v>
      </c>
      <c r="C20" s="6"/>
      <c r="D20" s="4">
        <f t="shared" si="0"/>
        <v>0</v>
      </c>
    </row>
    <row r="21" spans="1:4">
      <c r="A21" s="11" t="s">
        <v>190</v>
      </c>
      <c r="B21" s="137">
        <f>B2*B5*2</f>
        <v>2</v>
      </c>
      <c r="C21" s="6"/>
      <c r="D21" s="191">
        <f t="shared" si="0"/>
        <v>0</v>
      </c>
    </row>
    <row r="22" spans="1:4">
      <c r="A22" s="11" t="s">
        <v>198</v>
      </c>
      <c r="B22" s="137">
        <f>B4*2</f>
        <v>2</v>
      </c>
      <c r="C22" s="7"/>
      <c r="D22" s="191">
        <f t="shared" si="0"/>
        <v>0</v>
      </c>
    </row>
    <row r="23" spans="1:4">
      <c r="A23" s="11" t="s">
        <v>199</v>
      </c>
      <c r="B23" s="137">
        <f>B7*2</f>
        <v>0</v>
      </c>
      <c r="C23" s="7"/>
      <c r="D23" s="191">
        <f t="shared" si="0"/>
        <v>0</v>
      </c>
    </row>
    <row r="24" spans="1:4">
      <c r="A24" s="11" t="s">
        <v>200</v>
      </c>
      <c r="B24" s="137">
        <f>B6*2</f>
        <v>0</v>
      </c>
      <c r="C24" s="7"/>
      <c r="D24" s="191">
        <f t="shared" si="0"/>
        <v>0</v>
      </c>
    </row>
    <row r="25" spans="1:4">
      <c r="A25" s="11" t="s">
        <v>201</v>
      </c>
      <c r="B25" s="137">
        <f>B8*2</f>
        <v>0</v>
      </c>
      <c r="C25" s="7"/>
      <c r="D25" s="191">
        <f t="shared" si="0"/>
        <v>0</v>
      </c>
    </row>
    <row r="26" spans="1:4">
      <c r="A26" s="11" t="s">
        <v>193</v>
      </c>
      <c r="B26" s="137">
        <f>B4*2</f>
        <v>2</v>
      </c>
      <c r="C26" s="7"/>
      <c r="D26" s="191">
        <f t="shared" si="0"/>
        <v>0</v>
      </c>
    </row>
    <row r="27" spans="1:4">
      <c r="A27" s="11" t="s">
        <v>194</v>
      </c>
      <c r="B27" s="137">
        <f>B5*2</f>
        <v>2</v>
      </c>
      <c r="C27" s="7"/>
      <c r="D27" s="191">
        <f t="shared" si="0"/>
        <v>0</v>
      </c>
    </row>
    <row r="28" spans="1:4">
      <c r="A28" s="11" t="s">
        <v>195</v>
      </c>
      <c r="B28" s="137">
        <f>B5*2</f>
        <v>2</v>
      </c>
      <c r="C28" s="7"/>
      <c r="D28" s="191">
        <f t="shared" si="0"/>
        <v>0</v>
      </c>
    </row>
    <row r="29" spans="1:4">
      <c r="A29" s="11" t="s">
        <v>196</v>
      </c>
      <c r="B29" s="137">
        <f>B5*2</f>
        <v>2</v>
      </c>
      <c r="C29" s="7"/>
      <c r="D29" s="191">
        <f t="shared" si="0"/>
        <v>0</v>
      </c>
    </row>
    <row r="30" spans="1:4">
      <c r="A30" s="201" t="s">
        <v>203</v>
      </c>
      <c r="B30" s="202">
        <f>B10</f>
        <v>1</v>
      </c>
      <c r="C30" s="203"/>
      <c r="D30" s="204">
        <f>B30*C30</f>
        <v>0</v>
      </c>
    </row>
    <row r="31" spans="1:4">
      <c r="A31" s="201" t="s">
        <v>206</v>
      </c>
      <c r="B31" s="202">
        <f>B9</f>
        <v>1</v>
      </c>
      <c r="C31" s="203"/>
      <c r="D31" s="204">
        <f>B31*C31</f>
        <v>0</v>
      </c>
    </row>
    <row r="32" spans="1:4" ht="12" thickBot="1">
      <c r="A32" s="36" t="s">
        <v>169</v>
      </c>
      <c r="B32" s="145">
        <f>B11</f>
        <v>1</v>
      </c>
      <c r="C32" s="146"/>
      <c r="D32" s="5">
        <f>B32*C32</f>
        <v>0</v>
      </c>
    </row>
    <row r="33" spans="1:4" ht="12.75">
      <c r="C33" s="2" t="s">
        <v>9</v>
      </c>
      <c r="D33">
        <f>SUM(D15:D20)</f>
        <v>0</v>
      </c>
    </row>
    <row r="39" spans="1:4">
      <c r="A39" s="114"/>
      <c r="B39" s="115"/>
      <c r="C39" s="116"/>
      <c r="D39" s="87"/>
    </row>
    <row r="40" spans="1:4">
      <c r="A40" s="114"/>
      <c r="B40" s="115"/>
      <c r="C40" s="116"/>
      <c r="D40" s="87"/>
    </row>
    <row r="41" spans="1:4">
      <c r="A41" s="114"/>
      <c r="B41" s="115"/>
      <c r="C41" s="116"/>
      <c r="D41" s="87"/>
    </row>
    <row r="42" spans="1:4" ht="16.5" customHeight="1"/>
  </sheetData>
  <mergeCells count="13">
    <mergeCell ref="C11:D11"/>
    <mergeCell ref="A12:D12"/>
    <mergeCell ref="F2:K3"/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0:D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27"/>
  <sheetViews>
    <sheetView zoomScale="130" zoomScaleNormal="130" zoomScaleSheetLayoutView="100" workbookViewId="0">
      <selection activeCell="A17" sqref="A17:XFD17"/>
    </sheetView>
  </sheetViews>
  <sheetFormatPr defaultRowHeight="11.25"/>
  <cols>
    <col min="1" max="1" width="51.83203125" customWidth="1"/>
    <col min="2" max="2" width="10" customWidth="1"/>
    <col min="4" max="4" width="25" customWidth="1"/>
    <col min="11" max="11" width="11" customWidth="1"/>
  </cols>
  <sheetData>
    <row r="1" spans="1:11" ht="55.5" customHeight="1" thickBot="1">
      <c r="A1" s="995" t="s">
        <v>226</v>
      </c>
      <c r="B1" s="985"/>
      <c r="C1" s="985"/>
      <c r="D1" s="985"/>
    </row>
    <row r="2" spans="1:11" ht="11.25" customHeight="1">
      <c r="A2" s="132" t="s">
        <v>10</v>
      </c>
      <c r="B2" s="61">
        <v>2</v>
      </c>
      <c r="C2" s="895" t="s">
        <v>161</v>
      </c>
      <c r="D2" s="896"/>
      <c r="F2" s="871" t="s">
        <v>150</v>
      </c>
      <c r="G2" s="872"/>
      <c r="H2" s="872"/>
      <c r="I2" s="872"/>
      <c r="J2" s="872"/>
      <c r="K2" s="873"/>
    </row>
    <row r="3" spans="1:11" ht="12" thickBot="1">
      <c r="A3" s="134" t="s">
        <v>1</v>
      </c>
      <c r="B3" s="63">
        <v>2</v>
      </c>
      <c r="C3" s="976" t="s">
        <v>30</v>
      </c>
      <c r="D3" s="977"/>
      <c r="F3" s="874"/>
      <c r="G3" s="875"/>
      <c r="H3" s="875"/>
      <c r="I3" s="875"/>
      <c r="J3" s="875"/>
      <c r="K3" s="876"/>
    </row>
    <row r="4" spans="1:11" ht="12" thickBot="1">
      <c r="A4" s="151" t="s">
        <v>152</v>
      </c>
      <c r="B4" s="130">
        <v>1</v>
      </c>
      <c r="C4" s="996" t="s">
        <v>30</v>
      </c>
      <c r="D4" s="997"/>
    </row>
    <row r="5" spans="1:11" ht="12" thickBot="1">
      <c r="A5" s="190" t="s">
        <v>204</v>
      </c>
      <c r="B5" s="200">
        <v>1</v>
      </c>
      <c r="C5" s="982" t="s">
        <v>30</v>
      </c>
      <c r="D5" s="983"/>
    </row>
    <row r="6" spans="1:11" ht="12" thickBot="1">
      <c r="A6" s="994"/>
      <c r="B6" s="994"/>
      <c r="C6" s="994"/>
      <c r="D6" s="994"/>
    </row>
    <row r="7" spans="1:11" s="8" customFormat="1" ht="18" customHeight="1">
      <c r="A7" s="117" t="s">
        <v>5</v>
      </c>
      <c r="B7" s="118" t="s">
        <v>0</v>
      </c>
      <c r="C7" s="144" t="s">
        <v>4</v>
      </c>
      <c r="D7" s="67" t="s">
        <v>8</v>
      </c>
    </row>
    <row r="8" spans="1:11">
      <c r="A8" s="10" t="s">
        <v>122</v>
      </c>
      <c r="B8" s="136">
        <f>4*B4</f>
        <v>4</v>
      </c>
      <c r="C8" s="6"/>
      <c r="D8" s="4">
        <f t="shared" ref="D8:D16" si="0">C8*B8</f>
        <v>0</v>
      </c>
    </row>
    <row r="9" spans="1:11">
      <c r="A9" s="10" t="s">
        <v>162</v>
      </c>
      <c r="B9" s="136">
        <f>B4</f>
        <v>1</v>
      </c>
      <c r="C9" s="6"/>
      <c r="D9" s="4">
        <f>C9*B9</f>
        <v>0</v>
      </c>
    </row>
    <row r="10" spans="1:11">
      <c r="A10" s="10" t="s">
        <v>125</v>
      </c>
      <c r="B10" s="136">
        <f>2*B4</f>
        <v>2</v>
      </c>
      <c r="C10" s="6"/>
      <c r="D10" s="4">
        <f>C10*B10</f>
        <v>0</v>
      </c>
      <c r="E10" s="87"/>
      <c r="F10" s="87"/>
    </row>
    <row r="11" spans="1:11">
      <c r="A11" s="11" t="s">
        <v>136</v>
      </c>
      <c r="B11" s="137">
        <f>B2*(B4)</f>
        <v>2</v>
      </c>
      <c r="C11" s="6"/>
      <c r="D11" s="4">
        <f t="shared" si="0"/>
        <v>0</v>
      </c>
    </row>
    <row r="12" spans="1:11">
      <c r="A12" s="10" t="s">
        <v>124</v>
      </c>
      <c r="B12" s="136">
        <f>B13</f>
        <v>2</v>
      </c>
      <c r="C12" s="6"/>
      <c r="D12" s="4">
        <f t="shared" si="0"/>
        <v>0</v>
      </c>
    </row>
    <row r="13" spans="1:11">
      <c r="A13" s="11" t="s">
        <v>123</v>
      </c>
      <c r="B13" s="137">
        <f>B2*(B4)</f>
        <v>2</v>
      </c>
      <c r="C13" s="6"/>
      <c r="D13" s="4">
        <f t="shared" si="0"/>
        <v>0</v>
      </c>
    </row>
    <row r="14" spans="1:11">
      <c r="A14" s="10" t="s">
        <v>166</v>
      </c>
      <c r="B14" s="136">
        <f>B2*(B4)</f>
        <v>2</v>
      </c>
      <c r="C14" s="6"/>
      <c r="D14" s="4">
        <f t="shared" si="0"/>
        <v>0</v>
      </c>
    </row>
    <row r="15" spans="1:11">
      <c r="A15" s="11" t="s">
        <v>198</v>
      </c>
      <c r="B15" s="137">
        <f>2*B4</f>
        <v>2</v>
      </c>
      <c r="C15" s="7"/>
      <c r="D15" s="191">
        <f t="shared" si="0"/>
        <v>0</v>
      </c>
    </row>
    <row r="16" spans="1:11">
      <c r="A16" s="11" t="s">
        <v>193</v>
      </c>
      <c r="B16" s="137">
        <f>2*B4</f>
        <v>2</v>
      </c>
      <c r="C16" s="7"/>
      <c r="D16" s="191">
        <f t="shared" si="0"/>
        <v>0</v>
      </c>
    </row>
    <row r="17" spans="1:4" ht="12" thickBot="1">
      <c r="A17" s="207" t="s">
        <v>203</v>
      </c>
      <c r="B17" s="145">
        <f>B4</f>
        <v>1</v>
      </c>
      <c r="C17" s="146"/>
      <c r="D17" s="5">
        <f>B17*C17</f>
        <v>0</v>
      </c>
    </row>
    <row r="18" spans="1:4" ht="12.75">
      <c r="C18" s="2" t="s">
        <v>9</v>
      </c>
      <c r="D18">
        <f>SUM(D9:D14)</f>
        <v>0</v>
      </c>
    </row>
    <row r="24" spans="1:4">
      <c r="A24" s="114"/>
      <c r="B24" s="115"/>
      <c r="C24" s="116"/>
      <c r="D24" s="87"/>
    </row>
    <row r="25" spans="1:4">
      <c r="A25" s="114"/>
      <c r="B25" s="115"/>
      <c r="C25" s="116"/>
      <c r="D25" s="87"/>
    </row>
    <row r="26" spans="1:4">
      <c r="A26" s="114"/>
      <c r="B26" s="115"/>
      <c r="C26" s="116"/>
      <c r="D26" s="87"/>
    </row>
    <row r="27" spans="1:4" ht="16.5" customHeight="1"/>
  </sheetData>
  <mergeCells count="7">
    <mergeCell ref="C5:D5"/>
    <mergeCell ref="A6:D6"/>
    <mergeCell ref="F2:K3"/>
    <mergeCell ref="A1:D1"/>
    <mergeCell ref="C2:D2"/>
    <mergeCell ref="C3:D3"/>
    <mergeCell ref="C4:D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K28"/>
  <sheetViews>
    <sheetView zoomScale="130" zoomScaleNormal="130" zoomScaleSheetLayoutView="100" workbookViewId="0">
      <selection sqref="A1:D19"/>
    </sheetView>
  </sheetViews>
  <sheetFormatPr defaultRowHeight="11.25"/>
  <cols>
    <col min="1" max="1" width="51.83203125" customWidth="1"/>
    <col min="2" max="2" width="10" customWidth="1"/>
    <col min="4" max="4" width="18" customWidth="1"/>
    <col min="11" max="11" width="11" customWidth="1"/>
  </cols>
  <sheetData>
    <row r="1" spans="1:11" ht="52.5" customHeight="1" thickBot="1">
      <c r="A1" s="995" t="s">
        <v>299</v>
      </c>
      <c r="B1" s="985"/>
      <c r="C1" s="985"/>
      <c r="D1" s="985"/>
    </row>
    <row r="2" spans="1:11" ht="11.25" customHeight="1">
      <c r="A2" s="132" t="s">
        <v>10</v>
      </c>
      <c r="B2" s="61">
        <v>1</v>
      </c>
      <c r="C2" s="895" t="s">
        <v>161</v>
      </c>
      <c r="D2" s="896"/>
      <c r="F2" s="871" t="s">
        <v>150</v>
      </c>
      <c r="G2" s="872"/>
      <c r="H2" s="872"/>
      <c r="I2" s="872"/>
      <c r="J2" s="872"/>
      <c r="K2" s="873"/>
    </row>
    <row r="3" spans="1:11" ht="12" thickBot="1">
      <c r="A3" s="134" t="s">
        <v>1</v>
      </c>
      <c r="B3" s="63">
        <v>1</v>
      </c>
      <c r="C3" s="976" t="s">
        <v>30</v>
      </c>
      <c r="D3" s="977"/>
      <c r="F3" s="874"/>
      <c r="G3" s="875"/>
      <c r="H3" s="875"/>
      <c r="I3" s="875"/>
      <c r="J3" s="875"/>
      <c r="K3" s="876"/>
    </row>
    <row r="4" spans="1:11">
      <c r="A4" s="151" t="s">
        <v>163</v>
      </c>
      <c r="B4" s="130">
        <v>2</v>
      </c>
      <c r="C4" s="996" t="s">
        <v>164</v>
      </c>
      <c r="D4" s="997"/>
      <c r="F4" s="150"/>
      <c r="G4" s="150"/>
      <c r="H4" s="150"/>
      <c r="I4" s="150"/>
      <c r="J4" s="150"/>
      <c r="K4" s="150"/>
    </row>
    <row r="5" spans="1:11" ht="12" thickBot="1">
      <c r="A5" s="133" t="s">
        <v>152</v>
      </c>
      <c r="B5" s="62">
        <v>1</v>
      </c>
      <c r="C5" s="898" t="s">
        <v>30</v>
      </c>
      <c r="D5" s="899"/>
    </row>
    <row r="6" spans="1:11" ht="12" thickBot="1">
      <c r="A6" s="190" t="s">
        <v>204</v>
      </c>
      <c r="B6" s="200">
        <v>1</v>
      </c>
      <c r="C6" s="982" t="s">
        <v>30</v>
      </c>
      <c r="D6" s="983"/>
    </row>
    <row r="7" spans="1:11" ht="12" thickBot="1">
      <c r="A7" s="994"/>
      <c r="B7" s="994"/>
      <c r="C7" s="994"/>
      <c r="D7" s="994"/>
    </row>
    <row r="8" spans="1:11" s="8" customFormat="1" ht="18" customHeight="1">
      <c r="A8" s="117" t="s">
        <v>5</v>
      </c>
      <c r="B8" s="118" t="s">
        <v>0</v>
      </c>
      <c r="C8" s="144" t="s">
        <v>4</v>
      </c>
      <c r="D8" s="67" t="s">
        <v>8</v>
      </c>
    </row>
    <row r="9" spans="1:11">
      <c r="A9" s="10" t="s">
        <v>122</v>
      </c>
      <c r="B9" s="136">
        <f>2*B5*B4</f>
        <v>4</v>
      </c>
      <c r="C9" s="6"/>
      <c r="D9" s="4">
        <f t="shared" ref="D9:D17" si="0">C9*B9</f>
        <v>0</v>
      </c>
    </row>
    <row r="10" spans="1:11">
      <c r="A10" s="10" t="s">
        <v>165</v>
      </c>
      <c r="B10" s="136">
        <f>(B4-1)*B5</f>
        <v>1</v>
      </c>
      <c r="C10" s="6"/>
      <c r="D10" s="4">
        <f t="shared" si="0"/>
        <v>0</v>
      </c>
    </row>
    <row r="11" spans="1:11">
      <c r="A11" s="10" t="s">
        <v>125</v>
      </c>
      <c r="B11" s="136">
        <f>2*B5</f>
        <v>2</v>
      </c>
      <c r="C11" s="6"/>
      <c r="D11" s="4">
        <f t="shared" si="0"/>
        <v>0</v>
      </c>
      <c r="E11" s="87"/>
      <c r="F11" s="87"/>
    </row>
    <row r="12" spans="1:11">
      <c r="A12" s="11" t="s">
        <v>136</v>
      </c>
      <c r="B12" s="137">
        <f>B2*(B5)</f>
        <v>1</v>
      </c>
      <c r="C12" s="6"/>
      <c r="D12" s="4">
        <f t="shared" si="0"/>
        <v>0</v>
      </c>
    </row>
    <row r="13" spans="1:11">
      <c r="A13" s="10" t="s">
        <v>124</v>
      </c>
      <c r="B13" s="136">
        <f>B14</f>
        <v>1</v>
      </c>
      <c r="C13" s="6"/>
      <c r="D13" s="4">
        <f t="shared" si="0"/>
        <v>0</v>
      </c>
    </row>
    <row r="14" spans="1:11">
      <c r="A14" s="11" t="s">
        <v>123</v>
      </c>
      <c r="B14" s="137">
        <f>B2*(B5)</f>
        <v>1</v>
      </c>
      <c r="C14" s="6"/>
      <c r="D14" s="4">
        <f t="shared" si="0"/>
        <v>0</v>
      </c>
    </row>
    <row r="15" spans="1:11">
      <c r="A15" s="10" t="s">
        <v>166</v>
      </c>
      <c r="B15" s="136">
        <f>B2*(B5)</f>
        <v>1</v>
      </c>
      <c r="C15" s="6"/>
      <c r="D15" s="4">
        <f t="shared" si="0"/>
        <v>0</v>
      </c>
    </row>
    <row r="16" spans="1:11">
      <c r="A16" s="11" t="s">
        <v>198</v>
      </c>
      <c r="B16" s="137">
        <f>B5</f>
        <v>1</v>
      </c>
      <c r="C16" s="7"/>
      <c r="D16" s="191">
        <f t="shared" si="0"/>
        <v>0</v>
      </c>
    </row>
    <row r="17" spans="1:4">
      <c r="A17" s="11" t="s">
        <v>193</v>
      </c>
      <c r="B17" s="137">
        <f>B5</f>
        <v>1</v>
      </c>
      <c r="C17" s="7"/>
      <c r="D17" s="191">
        <f t="shared" si="0"/>
        <v>0</v>
      </c>
    </row>
    <row r="18" spans="1:4" ht="12" thickBot="1">
      <c r="A18" s="207" t="s">
        <v>203</v>
      </c>
      <c r="B18" s="145">
        <f>B5</f>
        <v>1</v>
      </c>
      <c r="C18" s="146"/>
      <c r="D18" s="5">
        <f>B18*C18</f>
        <v>0</v>
      </c>
    </row>
    <row r="19" spans="1:4" ht="12.75">
      <c r="C19" s="2" t="s">
        <v>9</v>
      </c>
      <c r="D19">
        <f>SUM(D10:D15)</f>
        <v>0</v>
      </c>
    </row>
    <row r="25" spans="1:4">
      <c r="A25" s="114"/>
      <c r="B25" s="115"/>
      <c r="C25" s="116"/>
      <c r="D25" s="87"/>
    </row>
    <row r="26" spans="1:4">
      <c r="A26" s="114"/>
      <c r="B26" s="115"/>
      <c r="C26" s="116"/>
      <c r="D26" s="87"/>
    </row>
    <row r="27" spans="1:4">
      <c r="A27" s="114"/>
      <c r="B27" s="115"/>
      <c r="C27" s="116"/>
      <c r="D27" s="87"/>
    </row>
    <row r="28" spans="1:4" ht="16.5" customHeight="1"/>
  </sheetData>
  <mergeCells count="8">
    <mergeCell ref="C5:D5"/>
    <mergeCell ref="A7:D7"/>
    <mergeCell ref="F2:K3"/>
    <mergeCell ref="A1:D1"/>
    <mergeCell ref="C2:D2"/>
    <mergeCell ref="C3:D3"/>
    <mergeCell ref="C4:D4"/>
    <mergeCell ref="C6:D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L32"/>
  <sheetViews>
    <sheetView zoomScale="115" zoomScaleNormal="115" workbookViewId="0">
      <selection activeCell="A26" sqref="A26"/>
    </sheetView>
  </sheetViews>
  <sheetFormatPr defaultRowHeight="11.25"/>
  <cols>
    <col min="1" max="1" width="59.83203125" customWidth="1"/>
    <col min="2" max="2" width="17.5" bestFit="1" customWidth="1"/>
    <col min="3" max="3" width="11.1640625" customWidth="1"/>
    <col min="4" max="4" width="12.1640625" customWidth="1"/>
    <col min="5" max="5" width="12.5" customWidth="1"/>
    <col min="6" max="6" width="3.5" customWidth="1"/>
    <col min="12" max="12" width="13.33203125" customWidth="1"/>
  </cols>
  <sheetData>
    <row r="1" spans="1:12" ht="31.5" customHeight="1" thickBot="1">
      <c r="A1" s="869" t="s">
        <v>657</v>
      </c>
      <c r="B1" s="880"/>
      <c r="C1" s="880"/>
      <c r="D1" s="880"/>
      <c r="E1" s="881"/>
    </row>
    <row r="2" spans="1:12" ht="14.25">
      <c r="A2" s="12" t="s">
        <v>3</v>
      </c>
      <c r="B2" s="16"/>
      <c r="C2" s="17"/>
      <c r="D2" s="17"/>
      <c r="E2" s="18"/>
      <c r="G2" s="871" t="s">
        <v>150</v>
      </c>
      <c r="H2" s="872"/>
      <c r="I2" s="872"/>
      <c r="J2" s="872"/>
      <c r="K2" s="872"/>
      <c r="L2" s="873"/>
    </row>
    <row r="3" spans="1:12" ht="12" thickBot="1">
      <c r="A3" s="13" t="s">
        <v>10</v>
      </c>
      <c r="B3" s="19">
        <v>1.5</v>
      </c>
      <c r="C3" s="17"/>
      <c r="D3" s="17"/>
      <c r="E3" s="18"/>
      <c r="G3" s="874"/>
      <c r="H3" s="875"/>
      <c r="I3" s="875"/>
      <c r="J3" s="875"/>
      <c r="K3" s="875"/>
      <c r="L3" s="876"/>
    </row>
    <row r="4" spans="1:12" ht="12" thickBot="1">
      <c r="A4" s="125" t="s">
        <v>1</v>
      </c>
      <c r="B4" s="126">
        <v>1</v>
      </c>
      <c r="C4" s="17"/>
      <c r="D4" s="17"/>
      <c r="E4" s="18"/>
    </row>
    <row r="5" spans="1:12" ht="12" thickBot="1">
      <c r="A5" s="127" t="s">
        <v>152</v>
      </c>
      <c r="B5" s="122">
        <v>6</v>
      </c>
      <c r="C5" s="155"/>
      <c r="D5" s="17"/>
      <c r="E5" s="18"/>
    </row>
    <row r="6" spans="1:12">
      <c r="A6" s="128" t="s">
        <v>102</v>
      </c>
      <c r="B6" s="122">
        <v>1</v>
      </c>
      <c r="C6" s="17" t="s">
        <v>101</v>
      </c>
      <c r="D6" s="17"/>
      <c r="E6" s="18"/>
    </row>
    <row r="7" spans="1:12">
      <c r="A7" s="198" t="s">
        <v>651</v>
      </c>
      <c r="B7" s="197">
        <v>1</v>
      </c>
      <c r="C7" s="17"/>
      <c r="D7" s="17"/>
      <c r="E7" s="18"/>
    </row>
    <row r="8" spans="1:12">
      <c r="A8" s="13" t="s">
        <v>170</v>
      </c>
      <c r="B8" s="197">
        <v>1</v>
      </c>
      <c r="C8" s="17"/>
      <c r="D8" s="17"/>
      <c r="E8" s="18"/>
    </row>
    <row r="9" spans="1:12" ht="12" thickBot="1">
      <c r="A9" s="13" t="s">
        <v>648</v>
      </c>
      <c r="B9" s="156">
        <v>1</v>
      </c>
      <c r="C9" s="17"/>
      <c r="D9" s="17"/>
      <c r="E9" s="18"/>
    </row>
    <row r="10" spans="1:12" ht="12" thickBot="1">
      <c r="A10" s="14" t="s">
        <v>99</v>
      </c>
      <c r="B10" s="20">
        <v>5</v>
      </c>
      <c r="C10" s="17"/>
      <c r="D10" s="17"/>
      <c r="E10" s="18"/>
    </row>
    <row r="11" spans="1:12" ht="12" thickBot="1">
      <c r="A11" s="23" t="s">
        <v>171</v>
      </c>
      <c r="B11" s="24"/>
      <c r="C11" s="24"/>
      <c r="D11" s="24"/>
      <c r="E11" s="123"/>
    </row>
    <row r="12" spans="1:12">
      <c r="A12" s="25"/>
      <c r="B12" s="26" t="s">
        <v>12</v>
      </c>
      <c r="C12" s="27" t="s">
        <v>4</v>
      </c>
      <c r="D12" s="27" t="s">
        <v>13</v>
      </c>
      <c r="E12" s="16"/>
    </row>
    <row r="13" spans="1:12">
      <c r="A13" s="28" t="s">
        <v>301</v>
      </c>
      <c r="B13" s="29"/>
      <c r="C13" s="30"/>
      <c r="D13" s="108">
        <f>B5</f>
        <v>6</v>
      </c>
      <c r="E13" s="19">
        <f t="shared" ref="E13:E27" si="0">D13*C13</f>
        <v>0</v>
      </c>
    </row>
    <row r="14" spans="1:12">
      <c r="A14" s="124" t="s">
        <v>103</v>
      </c>
      <c r="B14" s="152"/>
      <c r="C14" s="108"/>
      <c r="D14" s="108">
        <f>B3*B5</f>
        <v>9</v>
      </c>
      <c r="E14" s="19">
        <f t="shared" si="0"/>
        <v>0</v>
      </c>
    </row>
    <row r="15" spans="1:12">
      <c r="A15" s="28" t="s">
        <v>14</v>
      </c>
      <c r="B15" s="29"/>
      <c r="C15" s="30"/>
      <c r="D15" s="108">
        <f>B3*B5</f>
        <v>9</v>
      </c>
      <c r="E15" s="19">
        <f t="shared" si="0"/>
        <v>0</v>
      </c>
    </row>
    <row r="16" spans="1:12">
      <c r="A16" s="28" t="s">
        <v>19</v>
      </c>
      <c r="B16" s="29" t="s">
        <v>100</v>
      </c>
      <c r="C16" s="35"/>
      <c r="D16" s="108">
        <f>B3*B5</f>
        <v>9</v>
      </c>
      <c r="E16" s="19">
        <f t="shared" si="0"/>
        <v>0</v>
      </c>
    </row>
    <row r="17" spans="1:6">
      <c r="A17" s="28" t="s">
        <v>18</v>
      </c>
      <c r="B17" s="29"/>
      <c r="C17" s="30"/>
      <c r="D17" s="108">
        <f>IF(B6=1,B3+2*B4+2*0.1,2*B4)*B5</f>
        <v>22.200000000000003</v>
      </c>
      <c r="E17" s="19">
        <f t="shared" si="0"/>
        <v>0</v>
      </c>
    </row>
    <row r="18" spans="1:6">
      <c r="A18" s="28" t="s">
        <v>645</v>
      </c>
      <c r="B18" s="29"/>
      <c r="C18" s="30"/>
      <c r="D18" s="108">
        <f>(B3-0.002)*B5</f>
        <v>8.9879999999999995</v>
      </c>
      <c r="E18" s="19">
        <f t="shared" si="0"/>
        <v>0</v>
      </c>
    </row>
    <row r="19" spans="1:6" ht="12.75" customHeight="1">
      <c r="A19" s="28" t="s">
        <v>104</v>
      </c>
      <c r="B19" s="29"/>
      <c r="C19" s="30"/>
      <c r="D19" s="108">
        <f>4*B5</f>
        <v>24</v>
      </c>
      <c r="E19" s="19">
        <f t="shared" si="0"/>
        <v>0</v>
      </c>
    </row>
    <row r="20" spans="1:6">
      <c r="A20" s="59" t="s">
        <v>105</v>
      </c>
      <c r="B20" s="369"/>
      <c r="C20" s="369"/>
      <c r="D20" s="370">
        <f>IF(B6=1,B3*B5,0)</f>
        <v>9</v>
      </c>
      <c r="E20" s="19">
        <f t="shared" si="0"/>
        <v>0</v>
      </c>
    </row>
    <row r="21" spans="1:6">
      <c r="A21" s="59" t="s">
        <v>106</v>
      </c>
      <c r="B21" s="369"/>
      <c r="C21" s="369"/>
      <c r="D21" s="370">
        <f>IF(B6=1,B5,0)</f>
        <v>6</v>
      </c>
      <c r="E21" s="19">
        <f t="shared" si="0"/>
        <v>0</v>
      </c>
    </row>
    <row r="22" spans="1:6">
      <c r="A22" s="59" t="s">
        <v>107</v>
      </c>
      <c r="B22" s="369"/>
      <c r="C22" s="369"/>
      <c r="D22" s="370">
        <f>(B4-0.04)*2*B5</f>
        <v>11.52</v>
      </c>
      <c r="E22" s="19">
        <f t="shared" si="0"/>
        <v>0</v>
      </c>
    </row>
    <row r="23" spans="1:6">
      <c r="A23" s="28" t="s">
        <v>20</v>
      </c>
      <c r="B23" s="29"/>
      <c r="C23" s="35"/>
      <c r="D23" s="108">
        <f>B3*B5</f>
        <v>9</v>
      </c>
      <c r="E23" s="19">
        <f t="shared" si="0"/>
        <v>0</v>
      </c>
    </row>
    <row r="24" spans="1:6">
      <c r="A24" s="28" t="s">
        <v>646</v>
      </c>
      <c r="B24" s="29"/>
      <c r="C24" s="35"/>
      <c r="D24" s="108">
        <f>B5</f>
        <v>6</v>
      </c>
      <c r="E24" s="19">
        <f t="shared" si="0"/>
        <v>0</v>
      </c>
    </row>
    <row r="25" spans="1:6">
      <c r="A25" s="28" t="s">
        <v>650</v>
      </c>
      <c r="B25" s="157"/>
      <c r="C25" s="158"/>
      <c r="D25" s="159">
        <f>B7</f>
        <v>1</v>
      </c>
      <c r="E25" s="19">
        <f t="shared" si="0"/>
        <v>0</v>
      </c>
    </row>
    <row r="26" spans="1:6">
      <c r="A26" s="28" t="s">
        <v>649</v>
      </c>
      <c r="B26" s="157"/>
      <c r="C26" s="158"/>
      <c r="D26" s="159">
        <f>B8</f>
        <v>1</v>
      </c>
      <c r="E26" s="19">
        <f t="shared" si="0"/>
        <v>0</v>
      </c>
    </row>
    <row r="27" spans="1:6" ht="12" thickBot="1">
      <c r="A27" s="29" t="s">
        <v>647</v>
      </c>
      <c r="B27" s="157"/>
      <c r="C27" s="158"/>
      <c r="D27" s="159">
        <f>B9</f>
        <v>1</v>
      </c>
      <c r="E27" s="19">
        <f t="shared" si="0"/>
        <v>0</v>
      </c>
    </row>
    <row r="28" spans="1:6" ht="12" thickBot="1">
      <c r="A28" s="882" t="s">
        <v>22</v>
      </c>
      <c r="B28" s="883"/>
      <c r="C28" s="883"/>
      <c r="D28" s="883"/>
      <c r="E28" s="884"/>
      <c r="F28" s="21"/>
    </row>
    <row r="29" spans="1:6">
      <c r="A29" s="885" t="s">
        <v>35</v>
      </c>
      <c r="B29" s="886"/>
      <c r="C29" s="886"/>
      <c r="D29" s="886"/>
      <c r="E29" s="887"/>
      <c r="F29" s="21"/>
    </row>
    <row r="30" spans="1:6" ht="12" thickBot="1">
      <c r="A30" s="36" t="s">
        <v>25</v>
      </c>
      <c r="B30" s="37">
        <v>50</v>
      </c>
      <c r="C30" s="38"/>
      <c r="D30" s="39">
        <f>B10*(B3+2*B4+2*0.1)</f>
        <v>18.5</v>
      </c>
      <c r="E30" s="165">
        <f>D30*C30</f>
        <v>0</v>
      </c>
      <c r="F30" s="21"/>
    </row>
    <row r="31" spans="1:6">
      <c r="D31" s="372" t="s">
        <v>116</v>
      </c>
      <c r="E31" s="131">
        <f>SUM(E13:E30)</f>
        <v>0</v>
      </c>
    </row>
    <row r="32" spans="1:6">
      <c r="D32" s="371"/>
    </row>
  </sheetData>
  <mergeCells count="4">
    <mergeCell ref="A1:E1"/>
    <mergeCell ref="G2:L3"/>
    <mergeCell ref="A28:E28"/>
    <mergeCell ref="A29:E29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K65"/>
  <sheetViews>
    <sheetView topLeftCell="A13" workbookViewId="0">
      <selection activeCell="A44" sqref="A44:XFD44"/>
    </sheetView>
  </sheetViews>
  <sheetFormatPr defaultRowHeight="11.25"/>
  <cols>
    <col min="1" max="1" width="60.1640625" customWidth="1"/>
    <col min="2" max="2" width="23" customWidth="1"/>
    <col min="3" max="3" width="6.83203125" bestFit="1" customWidth="1"/>
    <col min="4" max="4" width="17.5" customWidth="1"/>
    <col min="11" max="11" width="18" customWidth="1"/>
  </cols>
  <sheetData>
    <row r="1" spans="1:11" ht="27" thickBot="1">
      <c r="A1" s="888" t="s">
        <v>247</v>
      </c>
      <c r="B1" s="889"/>
      <c r="C1" s="889"/>
      <c r="D1" s="890"/>
    </row>
    <row r="2" spans="1:11" ht="15" thickBot="1">
      <c r="A2" s="891" t="s">
        <v>3</v>
      </c>
      <c r="B2" s="892"/>
      <c r="C2" s="892"/>
      <c r="D2" s="893"/>
      <c r="F2" s="871" t="s">
        <v>150</v>
      </c>
      <c r="G2" s="872"/>
      <c r="H2" s="872"/>
      <c r="I2" s="872"/>
      <c r="J2" s="872"/>
      <c r="K2" s="873"/>
    </row>
    <row r="3" spans="1:11" ht="12" thickBot="1">
      <c r="A3" s="52" t="s">
        <v>248</v>
      </c>
      <c r="B3" s="49">
        <v>1</v>
      </c>
      <c r="C3" s="998" t="s">
        <v>30</v>
      </c>
      <c r="D3" s="998"/>
      <c r="F3" s="874"/>
      <c r="G3" s="875"/>
      <c r="H3" s="875"/>
      <c r="I3" s="875"/>
      <c r="J3" s="875"/>
      <c r="K3" s="876"/>
    </row>
    <row r="4" spans="1:11" ht="12" thickBot="1">
      <c r="A4" s="53" t="s">
        <v>249</v>
      </c>
      <c r="B4" s="85">
        <v>1</v>
      </c>
      <c r="C4" s="999" t="s">
        <v>30</v>
      </c>
      <c r="D4" s="999"/>
    </row>
    <row r="5" spans="1:11">
      <c r="A5" s="250" t="s">
        <v>250</v>
      </c>
      <c r="B5" s="255">
        <v>1</v>
      </c>
      <c r="C5" s="1000" t="s">
        <v>30</v>
      </c>
      <c r="D5" s="1000"/>
    </row>
    <row r="6" spans="1:11">
      <c r="A6" s="56" t="s">
        <v>251</v>
      </c>
      <c r="B6" s="57">
        <v>0</v>
      </c>
      <c r="C6" s="1001" t="s">
        <v>30</v>
      </c>
      <c r="D6" s="1001"/>
    </row>
    <row r="7" spans="1:11" ht="12" thickBot="1">
      <c r="A7" s="251" t="s">
        <v>252</v>
      </c>
      <c r="B7" s="106">
        <v>0</v>
      </c>
      <c r="C7" s="1002" t="s">
        <v>30</v>
      </c>
      <c r="D7" s="1002"/>
    </row>
    <row r="8" spans="1:11">
      <c r="A8" s="225" t="s">
        <v>227</v>
      </c>
      <c r="B8" s="227">
        <v>1</v>
      </c>
      <c r="C8" s="1000" t="s">
        <v>30</v>
      </c>
      <c r="D8" s="1000"/>
    </row>
    <row r="9" spans="1:11">
      <c r="A9" s="199" t="s">
        <v>202</v>
      </c>
      <c r="B9" s="208">
        <v>2</v>
      </c>
      <c r="C9" s="1015" t="s">
        <v>30</v>
      </c>
      <c r="D9" s="1015"/>
      <c r="E9" s="252"/>
      <c r="H9" s="87"/>
      <c r="I9" s="87"/>
      <c r="J9" s="87"/>
    </row>
    <row r="10" spans="1:11" ht="12" thickBot="1">
      <c r="A10" s="174" t="s">
        <v>205</v>
      </c>
      <c r="B10" s="106">
        <v>3</v>
      </c>
      <c r="C10" s="1002" t="s">
        <v>30</v>
      </c>
      <c r="D10" s="1002"/>
      <c r="E10" s="253"/>
      <c r="H10" s="87"/>
      <c r="I10" s="87"/>
      <c r="J10" s="87"/>
    </row>
    <row r="11" spans="1:11" ht="12" thickBot="1">
      <c r="A11" s="1003" t="s">
        <v>253</v>
      </c>
      <c r="B11" s="1003"/>
      <c r="C11" s="1003"/>
      <c r="D11" s="1003"/>
    </row>
    <row r="12" spans="1:11">
      <c r="A12" s="235" t="s">
        <v>254</v>
      </c>
      <c r="B12" s="236">
        <v>1</v>
      </c>
      <c r="C12" s="1004" t="s">
        <v>33</v>
      </c>
      <c r="D12" s="1005"/>
    </row>
    <row r="13" spans="1:11">
      <c r="A13" s="237" t="s">
        <v>255</v>
      </c>
      <c r="B13" s="238">
        <v>0</v>
      </c>
      <c r="C13" s="944" t="s">
        <v>33</v>
      </c>
      <c r="D13" s="945"/>
    </row>
    <row r="14" spans="1:11">
      <c r="A14" s="237" t="s">
        <v>256</v>
      </c>
      <c r="B14" s="239">
        <v>0</v>
      </c>
      <c r="C14" s="946" t="s">
        <v>33</v>
      </c>
      <c r="D14" s="948"/>
    </row>
    <row r="15" spans="1:11" ht="12" thickBot="1">
      <c r="A15" s="1016"/>
      <c r="B15" s="1017"/>
      <c r="C15" s="1017"/>
      <c r="D15" s="1018"/>
    </row>
    <row r="16" spans="1:11">
      <c r="A16" s="240" t="s">
        <v>257</v>
      </c>
      <c r="B16" s="241">
        <f>CEILING((B3-0.1)/0.4,1)+1</f>
        <v>4</v>
      </c>
      <c r="C16" s="1019" t="s">
        <v>29</v>
      </c>
      <c r="D16" s="1020"/>
    </row>
    <row r="17" spans="1:4" ht="12" thickBot="1">
      <c r="A17" s="242" t="s">
        <v>258</v>
      </c>
      <c r="B17" s="243">
        <f>SUM(B5:B7)</f>
        <v>1</v>
      </c>
      <c r="C17" s="1021" t="s">
        <v>29</v>
      </c>
      <c r="D17" s="1022"/>
    </row>
    <row r="18" spans="1:4" ht="12" thickBot="1">
      <c r="A18" s="1023"/>
      <c r="B18" s="1023"/>
      <c r="C18" s="1023"/>
      <c r="D18" s="1023"/>
    </row>
    <row r="19" spans="1:4" ht="12.75">
      <c r="A19" s="65" t="s">
        <v>7</v>
      </c>
      <c r="B19" s="119" t="s">
        <v>0</v>
      </c>
      <c r="C19" s="66" t="s">
        <v>4</v>
      </c>
      <c r="D19" s="67" t="s">
        <v>8</v>
      </c>
    </row>
    <row r="20" spans="1:4">
      <c r="A20" s="59" t="s">
        <v>259</v>
      </c>
      <c r="B20" s="216">
        <f>B3*B17</f>
        <v>1</v>
      </c>
      <c r="C20" s="215"/>
      <c r="D20" s="217">
        <f t="shared" ref="D20:D43" si="0">B20*C20</f>
        <v>0</v>
      </c>
    </row>
    <row r="21" spans="1:4">
      <c r="A21" s="244" t="s">
        <v>260</v>
      </c>
      <c r="B21" s="97">
        <f>B3*B17</f>
        <v>1</v>
      </c>
      <c r="C21" s="215"/>
      <c r="D21" s="217">
        <f t="shared" si="0"/>
        <v>0</v>
      </c>
    </row>
    <row r="22" spans="1:4">
      <c r="A22" s="244" t="s">
        <v>261</v>
      </c>
      <c r="B22" s="98">
        <f>(B3-0.026)*B6</f>
        <v>0</v>
      </c>
      <c r="C22" s="64"/>
      <c r="D22" s="219">
        <f t="shared" si="0"/>
        <v>0</v>
      </c>
    </row>
    <row r="23" spans="1:4">
      <c r="A23" s="244" t="s">
        <v>262</v>
      </c>
      <c r="B23" s="97">
        <f>(B3-0.07)*B17</f>
        <v>0.92999999999999994</v>
      </c>
      <c r="C23" s="215"/>
      <c r="D23" s="217">
        <f t="shared" si="0"/>
        <v>0</v>
      </c>
    </row>
    <row r="24" spans="1:4">
      <c r="A24" s="244" t="s">
        <v>263</v>
      </c>
      <c r="B24" s="98">
        <f>(B3-0.002)*B17*2</f>
        <v>1.996</v>
      </c>
      <c r="C24" s="64"/>
      <c r="D24" s="219">
        <f t="shared" si="0"/>
        <v>0</v>
      </c>
    </row>
    <row r="25" spans="1:4" ht="11.25" customHeight="1">
      <c r="A25" s="244" t="s">
        <v>264</v>
      </c>
      <c r="B25" s="98">
        <f>B3*B17</f>
        <v>1</v>
      </c>
      <c r="C25" s="64"/>
      <c r="D25" s="219">
        <f t="shared" si="0"/>
        <v>0</v>
      </c>
    </row>
    <row r="26" spans="1:4">
      <c r="A26" s="244" t="s">
        <v>265</v>
      </c>
      <c r="B26" s="98">
        <f>(B16-1)*B17</f>
        <v>3</v>
      </c>
      <c r="C26" s="64"/>
      <c r="D26" s="219">
        <f t="shared" si="0"/>
        <v>0</v>
      </c>
    </row>
    <row r="27" spans="1:4">
      <c r="A27" s="214" t="s">
        <v>237</v>
      </c>
      <c r="B27" s="98">
        <f>B17-B8</f>
        <v>0</v>
      </c>
      <c r="C27" s="64"/>
      <c r="D27" s="219">
        <f t="shared" si="0"/>
        <v>0</v>
      </c>
    </row>
    <row r="28" spans="1:4">
      <c r="A28" s="214" t="s">
        <v>238</v>
      </c>
      <c r="B28" s="98">
        <f>B8</f>
        <v>1</v>
      </c>
      <c r="C28" s="64"/>
      <c r="D28" s="219">
        <f t="shared" si="0"/>
        <v>0</v>
      </c>
    </row>
    <row r="29" spans="1:4">
      <c r="A29" s="244" t="s">
        <v>266</v>
      </c>
      <c r="B29" s="98">
        <f>(IF(B4&gt;2,B16,0))*B17</f>
        <v>0</v>
      </c>
      <c r="C29" s="64"/>
      <c r="D29" s="219">
        <f t="shared" si="0"/>
        <v>0</v>
      </c>
    </row>
    <row r="30" spans="1:4">
      <c r="A30" s="244" t="s">
        <v>267</v>
      </c>
      <c r="B30" s="98">
        <f>(IF(B4&lt;=2,B16,0))*B17</f>
        <v>4</v>
      </c>
      <c r="C30" s="64"/>
      <c r="D30" s="219">
        <f t="shared" si="0"/>
        <v>0</v>
      </c>
    </row>
    <row r="31" spans="1:4" ht="12.75" customHeight="1">
      <c r="A31" s="214" t="s">
        <v>239</v>
      </c>
      <c r="B31" s="98">
        <f>B17-B8</f>
        <v>0</v>
      </c>
      <c r="C31" s="64"/>
      <c r="D31" s="219">
        <f t="shared" si="0"/>
        <v>0</v>
      </c>
    </row>
    <row r="32" spans="1:4">
      <c r="A32" s="244" t="s">
        <v>268</v>
      </c>
      <c r="B32" s="98">
        <f>B17*2+(B17-B8)*2</f>
        <v>2</v>
      </c>
      <c r="C32" s="64"/>
      <c r="D32" s="219">
        <f t="shared" si="0"/>
        <v>0</v>
      </c>
    </row>
    <row r="33" spans="1:4">
      <c r="A33" s="244" t="s">
        <v>269</v>
      </c>
      <c r="B33" s="98">
        <f>2*B5</f>
        <v>2</v>
      </c>
      <c r="C33" s="64"/>
      <c r="D33" s="219">
        <f t="shared" si="0"/>
        <v>0</v>
      </c>
    </row>
    <row r="34" spans="1:4">
      <c r="A34" s="244" t="s">
        <v>270</v>
      </c>
      <c r="B34" s="98">
        <f>(B6+B7)*2</f>
        <v>0</v>
      </c>
      <c r="C34" s="64"/>
      <c r="D34" s="219">
        <f t="shared" si="0"/>
        <v>0</v>
      </c>
    </row>
    <row r="35" spans="1:4">
      <c r="A35" s="244" t="s">
        <v>271</v>
      </c>
      <c r="B35" s="98">
        <f>B5*2</f>
        <v>2</v>
      </c>
      <c r="C35" s="64"/>
      <c r="D35" s="219">
        <f t="shared" si="0"/>
        <v>0</v>
      </c>
    </row>
    <row r="36" spans="1:4">
      <c r="A36" s="244" t="s">
        <v>272</v>
      </c>
      <c r="B36" s="98">
        <f>2*(B6+B7)</f>
        <v>0</v>
      </c>
      <c r="C36" s="64"/>
      <c r="D36" s="219">
        <f t="shared" si="0"/>
        <v>0</v>
      </c>
    </row>
    <row r="37" spans="1:4">
      <c r="A37" s="244" t="s">
        <v>273</v>
      </c>
      <c r="B37" s="98">
        <f>2*B6</f>
        <v>0</v>
      </c>
      <c r="C37" s="64"/>
      <c r="D37" s="219">
        <f t="shared" si="0"/>
        <v>0</v>
      </c>
    </row>
    <row r="38" spans="1:4">
      <c r="A38" s="244" t="s">
        <v>274</v>
      </c>
      <c r="B38" s="98">
        <f>2*B7</f>
        <v>0</v>
      </c>
      <c r="C38" s="64"/>
      <c r="D38" s="219">
        <f t="shared" si="0"/>
        <v>0</v>
      </c>
    </row>
    <row r="39" spans="1:4">
      <c r="A39" s="244" t="s">
        <v>275</v>
      </c>
      <c r="B39" s="98">
        <f>B16*B17</f>
        <v>4</v>
      </c>
      <c r="C39" s="64"/>
      <c r="D39" s="219">
        <f t="shared" si="0"/>
        <v>0</v>
      </c>
    </row>
    <row r="40" spans="1:4">
      <c r="A40" s="244" t="s">
        <v>276</v>
      </c>
      <c r="B40" s="98">
        <f>B17*B16</f>
        <v>4</v>
      </c>
      <c r="C40" s="64"/>
      <c r="D40" s="219">
        <f t="shared" si="0"/>
        <v>0</v>
      </c>
    </row>
    <row r="41" spans="1:4">
      <c r="A41" s="244" t="s">
        <v>277</v>
      </c>
      <c r="B41" s="98">
        <f>B17</f>
        <v>1</v>
      </c>
      <c r="C41" s="64"/>
      <c r="D41" s="219">
        <f t="shared" si="0"/>
        <v>0</v>
      </c>
    </row>
    <row r="42" spans="1:4">
      <c r="A42" s="99" t="s">
        <v>278</v>
      </c>
      <c r="B42" s="98">
        <f>(B4+0.2)*B16*B17+(B3*2+B4*2)*(B6+B7)</f>
        <v>4.8</v>
      </c>
      <c r="C42" s="64"/>
      <c r="D42" s="219">
        <f t="shared" si="0"/>
        <v>0</v>
      </c>
    </row>
    <row r="43" spans="1:4">
      <c r="A43" s="244" t="s">
        <v>279</v>
      </c>
      <c r="B43" s="98">
        <f>1*B17</f>
        <v>1</v>
      </c>
      <c r="C43" s="64"/>
      <c r="D43" s="219">
        <f t="shared" si="0"/>
        <v>0</v>
      </c>
    </row>
    <row r="44" spans="1:4">
      <c r="A44" s="166" t="s">
        <v>233</v>
      </c>
      <c r="B44" s="90">
        <f>B9</f>
        <v>2</v>
      </c>
      <c r="C44" s="64"/>
      <c r="D44" s="219">
        <f>B44*C44</f>
        <v>0</v>
      </c>
    </row>
    <row r="45" spans="1:4">
      <c r="A45" s="166" t="s">
        <v>242</v>
      </c>
      <c r="B45" s="91">
        <f>B17</f>
        <v>1</v>
      </c>
      <c r="C45" s="78"/>
      <c r="D45" s="219">
        <f>B45*C45</f>
        <v>0</v>
      </c>
    </row>
    <row r="46" spans="1:4" ht="12" thickBot="1">
      <c r="A46" s="36" t="s">
        <v>243</v>
      </c>
      <c r="B46" s="220">
        <f>B10</f>
        <v>3</v>
      </c>
      <c r="C46" s="60"/>
      <c r="D46" s="219">
        <f>B46*C46</f>
        <v>0</v>
      </c>
    </row>
    <row r="47" spans="1:4" ht="12" thickBot="1">
      <c r="A47" s="1009"/>
      <c r="B47" s="1010"/>
      <c r="C47" s="1010"/>
      <c r="D47" s="1011"/>
    </row>
    <row r="48" spans="1:4" ht="12.75">
      <c r="A48" s="1006" t="s">
        <v>253</v>
      </c>
      <c r="B48" s="1007"/>
      <c r="C48" s="1007"/>
      <c r="D48" s="1008"/>
    </row>
    <row r="49" spans="1:4">
      <c r="A49" s="244" t="s">
        <v>280</v>
      </c>
      <c r="B49" s="98">
        <f>2*B7</f>
        <v>0</v>
      </c>
      <c r="C49" s="64"/>
      <c r="D49" s="219">
        <f t="shared" ref="D49:D60" si="1">B49*C49</f>
        <v>0</v>
      </c>
    </row>
    <row r="50" spans="1:4">
      <c r="A50" s="244" t="s">
        <v>281</v>
      </c>
      <c r="B50" s="98">
        <f>IF(B13=1,INT((B3-0.1)/0.6+2)*B17+2*B7+INT((B3-0.1)/0.6+2)*B6,0)</f>
        <v>0</v>
      </c>
      <c r="C50" s="64"/>
      <c r="D50" s="219">
        <f t="shared" si="1"/>
        <v>0</v>
      </c>
    </row>
    <row r="51" spans="1:4">
      <c r="A51" s="244" t="s">
        <v>282</v>
      </c>
      <c r="B51" s="98">
        <f>IF(B13=1,INT((B3-0.1)/0.6+2)*(B6+B7),0)</f>
        <v>0</v>
      </c>
      <c r="C51" s="64"/>
      <c r="D51" s="219">
        <f t="shared" si="1"/>
        <v>0</v>
      </c>
    </row>
    <row r="52" spans="1:4">
      <c r="A52" s="244" t="s">
        <v>283</v>
      </c>
      <c r="B52" s="98">
        <f>IF(B14=1,2*B7,0)</f>
        <v>0</v>
      </c>
      <c r="C52" s="64"/>
      <c r="D52" s="219">
        <f t="shared" si="1"/>
        <v>0</v>
      </c>
    </row>
    <row r="53" spans="1:4">
      <c r="A53" s="244" t="s">
        <v>284</v>
      </c>
      <c r="B53" s="98">
        <f>(IF(B14=1,INT((B3-0.1)/0.6+2),0))*B17</f>
        <v>0</v>
      </c>
      <c r="C53" s="64"/>
      <c r="D53" s="219">
        <f t="shared" si="1"/>
        <v>0</v>
      </c>
    </row>
    <row r="54" spans="1:4">
      <c r="A54" s="244" t="s">
        <v>285</v>
      </c>
      <c r="B54" s="98">
        <f>(IF(B14=1,INT((B3-0.1)/0.6+2),0))*B6</f>
        <v>0</v>
      </c>
      <c r="C54" s="64"/>
      <c r="D54" s="219">
        <f t="shared" si="1"/>
        <v>0</v>
      </c>
    </row>
    <row r="55" spans="1:4">
      <c r="A55" s="244" t="s">
        <v>286</v>
      </c>
      <c r="B55" s="98">
        <f>(IF(B14=1,0,INT((B3-0.1)/0.6+2)))*B17</f>
        <v>3</v>
      </c>
      <c r="C55" s="64"/>
      <c r="D55" s="219">
        <f t="shared" si="1"/>
        <v>0</v>
      </c>
    </row>
    <row r="56" spans="1:4">
      <c r="A56" s="244" t="s">
        <v>287</v>
      </c>
      <c r="B56" s="98">
        <f>((IF(B14=1,0,INT((B3-0.1)/0.6+2))))*B6</f>
        <v>0</v>
      </c>
      <c r="C56" s="64"/>
      <c r="D56" s="219">
        <f t="shared" si="1"/>
        <v>0</v>
      </c>
    </row>
    <row r="57" spans="1:4">
      <c r="A57" s="244" t="s">
        <v>288</v>
      </c>
      <c r="B57" s="218">
        <f>IF(B12&lt;&gt;1,B49,0)</f>
        <v>0</v>
      </c>
      <c r="C57" s="64"/>
      <c r="D57" s="219">
        <f t="shared" si="1"/>
        <v>0</v>
      </c>
    </row>
    <row r="58" spans="1:4">
      <c r="A58" s="244" t="s">
        <v>289</v>
      </c>
      <c r="B58" s="98">
        <f>B57</f>
        <v>0</v>
      </c>
      <c r="C58" s="64"/>
      <c r="D58" s="219">
        <f t="shared" si="1"/>
        <v>0</v>
      </c>
    </row>
    <row r="59" spans="1:4">
      <c r="A59" s="244" t="s">
        <v>290</v>
      </c>
      <c r="B59" s="218">
        <f>IF(B13=1,B55+B56,0)</f>
        <v>0</v>
      </c>
      <c r="C59" s="215"/>
      <c r="D59" s="219">
        <f t="shared" si="1"/>
        <v>0</v>
      </c>
    </row>
    <row r="60" spans="1:4">
      <c r="A60" s="244" t="s">
        <v>291</v>
      </c>
      <c r="B60" s="98">
        <f>B49</f>
        <v>0</v>
      </c>
      <c r="C60" s="64"/>
      <c r="D60" s="219">
        <f t="shared" si="1"/>
        <v>0</v>
      </c>
    </row>
    <row r="61" spans="1:4" ht="12" thickBot="1">
      <c r="A61" s="1009"/>
      <c r="B61" s="1010"/>
      <c r="C61" s="1010"/>
      <c r="D61" s="1011"/>
    </row>
    <row r="62" spans="1:4" ht="12.75">
      <c r="A62" s="1012" t="s">
        <v>292</v>
      </c>
      <c r="B62" s="1013"/>
      <c r="C62" s="1013"/>
      <c r="D62" s="1014"/>
    </row>
    <row r="63" spans="1:4">
      <c r="A63" s="244" t="s">
        <v>293</v>
      </c>
      <c r="B63" s="98">
        <v>1</v>
      </c>
      <c r="C63" s="64"/>
      <c r="D63" s="219">
        <f>B63*C63</f>
        <v>0</v>
      </c>
    </row>
    <row r="64" spans="1:4" ht="12" thickBot="1">
      <c r="A64" s="248" t="s">
        <v>294</v>
      </c>
      <c r="B64" s="249">
        <v>1</v>
      </c>
      <c r="C64" s="69"/>
      <c r="D64" s="84">
        <f>B64*C64</f>
        <v>0</v>
      </c>
    </row>
    <row r="65" spans="3:4">
      <c r="C65" s="3" t="s">
        <v>9</v>
      </c>
      <c r="D65" s="3">
        <f>SUM(D21:D64)</f>
        <v>0</v>
      </c>
    </row>
  </sheetData>
  <mergeCells count="23">
    <mergeCell ref="C13:D13"/>
    <mergeCell ref="A48:D48"/>
    <mergeCell ref="A61:D61"/>
    <mergeCell ref="A62:D62"/>
    <mergeCell ref="C8:D8"/>
    <mergeCell ref="C9:D9"/>
    <mergeCell ref="C10:D10"/>
    <mergeCell ref="A15:D15"/>
    <mergeCell ref="C16:D16"/>
    <mergeCell ref="C17:D17"/>
    <mergeCell ref="A18:D18"/>
    <mergeCell ref="A47:D47"/>
    <mergeCell ref="C14:D14"/>
    <mergeCell ref="C5:D5"/>
    <mergeCell ref="C6:D6"/>
    <mergeCell ref="C7:D7"/>
    <mergeCell ref="A11:D11"/>
    <mergeCell ref="C12:D12"/>
    <mergeCell ref="F2:K3"/>
    <mergeCell ref="A1:D1"/>
    <mergeCell ref="A2:D2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K40"/>
  <sheetViews>
    <sheetView workbookViewId="0">
      <selection activeCell="A36" sqref="A36"/>
    </sheetView>
  </sheetViews>
  <sheetFormatPr defaultRowHeight="11.25"/>
  <cols>
    <col min="1" max="1" width="55.83203125" customWidth="1"/>
    <col min="2" max="2" width="11.1640625" customWidth="1"/>
    <col min="3" max="3" width="10.83203125" customWidth="1"/>
    <col min="4" max="4" width="11.1640625" customWidth="1"/>
    <col min="11" max="11" width="19.83203125" customWidth="1"/>
  </cols>
  <sheetData>
    <row r="1" spans="1:11" ht="27" thickBot="1">
      <c r="A1" s="888" t="s">
        <v>295</v>
      </c>
      <c r="B1" s="889"/>
      <c r="C1" s="889"/>
      <c r="D1" s="890"/>
    </row>
    <row r="2" spans="1:11" ht="15" thickBot="1">
      <c r="A2" s="891" t="s">
        <v>3</v>
      </c>
      <c r="B2" s="892"/>
      <c r="C2" s="892"/>
      <c r="D2" s="893"/>
      <c r="F2" s="871" t="s">
        <v>150</v>
      </c>
      <c r="G2" s="872"/>
      <c r="H2" s="872"/>
      <c r="I2" s="872"/>
      <c r="J2" s="872"/>
      <c r="K2" s="873"/>
    </row>
    <row r="3" spans="1:11" ht="12" thickBot="1">
      <c r="A3" s="52" t="s">
        <v>248</v>
      </c>
      <c r="B3" s="254">
        <v>1</v>
      </c>
      <c r="C3" s="998" t="s">
        <v>30</v>
      </c>
      <c r="D3" s="998"/>
      <c r="F3" s="874"/>
      <c r="G3" s="875"/>
      <c r="H3" s="875"/>
      <c r="I3" s="875"/>
      <c r="J3" s="875"/>
      <c r="K3" s="876"/>
    </row>
    <row r="4" spans="1:11" ht="12" thickBot="1">
      <c r="A4" s="257" t="s">
        <v>249</v>
      </c>
      <c r="B4" s="258">
        <v>1</v>
      </c>
      <c r="C4" s="1024" t="s">
        <v>30</v>
      </c>
      <c r="D4" s="1024"/>
    </row>
    <row r="5" spans="1:11">
      <c r="A5" s="225" t="s">
        <v>227</v>
      </c>
      <c r="B5" s="227">
        <v>1</v>
      </c>
      <c r="C5" s="1026" t="s">
        <v>30</v>
      </c>
      <c r="D5" s="1026"/>
    </row>
    <row r="6" spans="1:11">
      <c r="A6" s="199" t="s">
        <v>202</v>
      </c>
      <c r="B6" s="208">
        <v>2</v>
      </c>
      <c r="C6" s="1015" t="s">
        <v>30</v>
      </c>
      <c r="D6" s="1015"/>
      <c r="E6" s="252"/>
      <c r="H6" s="87"/>
      <c r="I6" s="87"/>
      <c r="J6" s="87"/>
    </row>
    <row r="7" spans="1:11" ht="12" thickBot="1">
      <c r="A7" s="174" t="s">
        <v>205</v>
      </c>
      <c r="B7" s="106">
        <v>3</v>
      </c>
      <c r="C7" s="1002" t="s">
        <v>30</v>
      </c>
      <c r="D7" s="1002"/>
      <c r="E7" s="253"/>
      <c r="H7" s="87"/>
      <c r="I7" s="87"/>
      <c r="J7" s="87"/>
    </row>
    <row r="8" spans="1:11" ht="12" thickBot="1">
      <c r="A8" s="250" t="s">
        <v>53</v>
      </c>
      <c r="B8" s="256">
        <v>1</v>
      </c>
      <c r="C8" s="1025" t="s">
        <v>30</v>
      </c>
      <c r="D8" s="1025"/>
    </row>
    <row r="9" spans="1:11" ht="12" thickBot="1">
      <c r="A9" s="1016"/>
      <c r="B9" s="1017"/>
      <c r="C9" s="1017"/>
      <c r="D9" s="1018"/>
    </row>
    <row r="10" spans="1:11" ht="12" thickBot="1">
      <c r="A10" s="240" t="s">
        <v>257</v>
      </c>
      <c r="B10" s="241">
        <f>CEILING((B3-0.1)/0.4,1)+1</f>
        <v>4</v>
      </c>
      <c r="C10" s="1019" t="s">
        <v>29</v>
      </c>
      <c r="D10" s="1020"/>
    </row>
    <row r="11" spans="1:11" ht="12" thickBot="1">
      <c r="A11" s="1023"/>
      <c r="B11" s="1023"/>
      <c r="C11" s="1023"/>
      <c r="D11" s="1023"/>
    </row>
    <row r="12" spans="1:11" ht="12.75">
      <c r="A12" s="245" t="s">
        <v>7</v>
      </c>
      <c r="B12" s="246" t="s">
        <v>0</v>
      </c>
      <c r="C12" s="66" t="s">
        <v>4</v>
      </c>
      <c r="D12" s="247" t="s">
        <v>8</v>
      </c>
    </row>
    <row r="13" spans="1:11">
      <c r="A13" s="59" t="s">
        <v>259</v>
      </c>
      <c r="B13" s="231">
        <f>B3*B8</f>
        <v>1</v>
      </c>
      <c r="C13" s="230"/>
      <c r="D13" s="232">
        <f t="shared" ref="D13:D33" si="0">B13*C13</f>
        <v>0</v>
      </c>
    </row>
    <row r="14" spans="1:11">
      <c r="A14" s="244" t="s">
        <v>260</v>
      </c>
      <c r="B14" s="97">
        <f>B3*B8</f>
        <v>1</v>
      </c>
      <c r="C14" s="230"/>
      <c r="D14" s="232">
        <f t="shared" si="0"/>
        <v>0</v>
      </c>
    </row>
    <row r="15" spans="1:11">
      <c r="A15" s="244" t="s">
        <v>262</v>
      </c>
      <c r="B15" s="97">
        <f>B3*B8</f>
        <v>1</v>
      </c>
      <c r="C15" s="230"/>
      <c r="D15" s="232">
        <f t="shared" si="0"/>
        <v>0</v>
      </c>
    </row>
    <row r="16" spans="1:11">
      <c r="A16" s="244" t="s">
        <v>296</v>
      </c>
      <c r="B16" s="97">
        <f>B3*B8</f>
        <v>1</v>
      </c>
      <c r="C16" s="230"/>
      <c r="D16" s="232">
        <f t="shared" si="0"/>
        <v>0</v>
      </c>
    </row>
    <row r="17" spans="1:4">
      <c r="A17" s="244" t="s">
        <v>263</v>
      </c>
      <c r="B17" s="98">
        <f>B3*B8*2</f>
        <v>2</v>
      </c>
      <c r="C17" s="64"/>
      <c r="D17" s="232">
        <f t="shared" si="0"/>
        <v>0</v>
      </c>
    </row>
    <row r="18" spans="1:4">
      <c r="A18" s="244" t="s">
        <v>264</v>
      </c>
      <c r="B18" s="98">
        <f>B3*B8</f>
        <v>1</v>
      </c>
      <c r="C18" s="64"/>
      <c r="D18" s="232">
        <f t="shared" si="0"/>
        <v>0</v>
      </c>
    </row>
    <row r="19" spans="1:4">
      <c r="A19" s="244" t="s">
        <v>265</v>
      </c>
      <c r="B19" s="98">
        <f>(B10-1)*B8</f>
        <v>3</v>
      </c>
      <c r="C19" s="64"/>
      <c r="D19" s="232">
        <f t="shared" si="0"/>
        <v>0</v>
      </c>
    </row>
    <row r="20" spans="1:4">
      <c r="A20" s="214" t="s">
        <v>237</v>
      </c>
      <c r="B20" s="98">
        <f>B8-B5</f>
        <v>0</v>
      </c>
      <c r="C20" s="64"/>
      <c r="D20" s="232">
        <f t="shared" si="0"/>
        <v>0</v>
      </c>
    </row>
    <row r="21" spans="1:4">
      <c r="A21" s="214" t="s">
        <v>238</v>
      </c>
      <c r="B21" s="98">
        <f>B5</f>
        <v>1</v>
      </c>
      <c r="C21" s="64"/>
      <c r="D21" s="232">
        <f t="shared" si="0"/>
        <v>0</v>
      </c>
    </row>
    <row r="22" spans="1:4">
      <c r="A22" s="244" t="s">
        <v>266</v>
      </c>
      <c r="B22" s="98">
        <f>(IF(B4&gt;2,B10,0))*B8</f>
        <v>0</v>
      </c>
      <c r="C22" s="64"/>
      <c r="D22" s="232">
        <f t="shared" si="0"/>
        <v>0</v>
      </c>
    </row>
    <row r="23" spans="1:4">
      <c r="A23" s="244" t="s">
        <v>267</v>
      </c>
      <c r="B23" s="98">
        <f>(IF(B4&lt;=2,B10,0))*B8</f>
        <v>4</v>
      </c>
      <c r="C23" s="64"/>
      <c r="D23" s="232">
        <f t="shared" si="0"/>
        <v>0</v>
      </c>
    </row>
    <row r="24" spans="1:4">
      <c r="A24" s="244" t="s">
        <v>268</v>
      </c>
      <c r="B24" s="98">
        <f>B8*2+(B8-B5)*2</f>
        <v>2</v>
      </c>
      <c r="C24" s="64"/>
      <c r="D24" s="232">
        <f t="shared" si="0"/>
        <v>0</v>
      </c>
    </row>
    <row r="25" spans="1:4">
      <c r="A25" s="244" t="s">
        <v>269</v>
      </c>
      <c r="B25" s="98">
        <f>2*B8</f>
        <v>2</v>
      </c>
      <c r="C25" s="64"/>
      <c r="D25" s="232">
        <f t="shared" si="0"/>
        <v>0</v>
      </c>
    </row>
    <row r="26" spans="1:4">
      <c r="A26" s="244" t="s">
        <v>271</v>
      </c>
      <c r="B26" s="98">
        <f>B8*2</f>
        <v>2</v>
      </c>
      <c r="C26" s="64"/>
      <c r="D26" s="232">
        <f t="shared" si="0"/>
        <v>0</v>
      </c>
    </row>
    <row r="27" spans="1:4">
      <c r="A27" s="244" t="s">
        <v>297</v>
      </c>
      <c r="B27" s="98">
        <f>2*B8</f>
        <v>2</v>
      </c>
      <c r="C27" s="64"/>
      <c r="D27" s="232">
        <f t="shared" si="0"/>
        <v>0</v>
      </c>
    </row>
    <row r="28" spans="1:4">
      <c r="A28" s="244" t="s">
        <v>275</v>
      </c>
      <c r="B28" s="98">
        <f>(4*3+B10*3)*B8</f>
        <v>24</v>
      </c>
      <c r="C28" s="64"/>
      <c r="D28" s="232">
        <f t="shared" si="0"/>
        <v>0</v>
      </c>
    </row>
    <row r="29" spans="1:4">
      <c r="A29" s="244" t="s">
        <v>298</v>
      </c>
      <c r="B29" s="98">
        <f>2*B8</f>
        <v>2</v>
      </c>
      <c r="C29" s="64"/>
      <c r="D29" s="232">
        <f t="shared" si="0"/>
        <v>0</v>
      </c>
    </row>
    <row r="30" spans="1:4">
      <c r="A30" s="244" t="s">
        <v>276</v>
      </c>
      <c r="B30" s="98">
        <f>B10*B8</f>
        <v>4</v>
      </c>
      <c r="C30" s="64"/>
      <c r="D30" s="232">
        <f t="shared" si="0"/>
        <v>0</v>
      </c>
    </row>
    <row r="31" spans="1:4">
      <c r="A31" s="244" t="s">
        <v>277</v>
      </c>
      <c r="B31" s="98">
        <f>B8*2</f>
        <v>2</v>
      </c>
      <c r="C31" s="64"/>
      <c r="D31" s="232">
        <f t="shared" si="0"/>
        <v>0</v>
      </c>
    </row>
    <row r="32" spans="1:4">
      <c r="A32" s="99" t="s">
        <v>278</v>
      </c>
      <c r="B32" s="98">
        <f>((B4*2+0.4)*2+(B4+0.4)*2)*B8</f>
        <v>7.6</v>
      </c>
      <c r="C32" s="64"/>
      <c r="D32" s="232">
        <f t="shared" si="0"/>
        <v>0</v>
      </c>
    </row>
    <row r="33" spans="1:4">
      <c r="A33" s="244" t="s">
        <v>279</v>
      </c>
      <c r="B33" s="98">
        <f>B8</f>
        <v>1</v>
      </c>
      <c r="C33" s="64"/>
      <c r="D33" s="232">
        <f t="shared" si="0"/>
        <v>0</v>
      </c>
    </row>
    <row r="34" spans="1:4">
      <c r="A34" s="166" t="s">
        <v>233</v>
      </c>
      <c r="B34" s="90">
        <f>B6</f>
        <v>2</v>
      </c>
      <c r="C34" s="64"/>
      <c r="D34" s="233">
        <f>B34*C34</f>
        <v>0</v>
      </c>
    </row>
    <row r="35" spans="1:4">
      <c r="A35" s="166" t="s">
        <v>242</v>
      </c>
      <c r="B35" s="91">
        <f>B8</f>
        <v>1</v>
      </c>
      <c r="C35" s="78"/>
      <c r="D35" s="233">
        <f>B35*C35</f>
        <v>0</v>
      </c>
    </row>
    <row r="36" spans="1:4" ht="12" thickBot="1">
      <c r="A36" s="36" t="s">
        <v>243</v>
      </c>
      <c r="B36" s="234">
        <f>B7</f>
        <v>3</v>
      </c>
      <c r="C36" s="60"/>
      <c r="D36" s="84">
        <f>B36*C36</f>
        <v>0</v>
      </c>
    </row>
    <row r="37" spans="1:4" ht="12" thickBot="1">
      <c r="A37" s="1009"/>
      <c r="B37" s="1010"/>
      <c r="C37" s="1010"/>
      <c r="D37" s="1011"/>
    </row>
    <row r="38" spans="1:4" ht="12.75">
      <c r="A38" s="1006" t="s">
        <v>253</v>
      </c>
      <c r="B38" s="1007"/>
      <c r="C38" s="1007"/>
      <c r="D38" s="1008"/>
    </row>
    <row r="39" spans="1:4">
      <c r="A39" s="244" t="s">
        <v>286</v>
      </c>
      <c r="B39" s="98">
        <f>B10*B8</f>
        <v>4</v>
      </c>
      <c r="C39" s="64"/>
      <c r="D39" s="233">
        <f>B39*C39</f>
        <v>0</v>
      </c>
    </row>
    <row r="40" spans="1:4" ht="12" thickBot="1">
      <c r="A40" s="248" t="s">
        <v>287</v>
      </c>
      <c r="B40" s="249">
        <f>B39</f>
        <v>4</v>
      </c>
      <c r="C40" s="69"/>
      <c r="D40" s="84">
        <f>B40*C40</f>
        <v>0</v>
      </c>
    </row>
  </sheetData>
  <mergeCells count="14">
    <mergeCell ref="A38:D38"/>
    <mergeCell ref="A1:D1"/>
    <mergeCell ref="A2:D2"/>
    <mergeCell ref="C3:D3"/>
    <mergeCell ref="C4:D4"/>
    <mergeCell ref="C8:D8"/>
    <mergeCell ref="C5:D5"/>
    <mergeCell ref="C6:D6"/>
    <mergeCell ref="C7:D7"/>
    <mergeCell ref="F2:K3"/>
    <mergeCell ref="A9:D9"/>
    <mergeCell ref="C10:D10"/>
    <mergeCell ref="A11:D11"/>
    <mergeCell ref="A37:D3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68"/>
  <sheetViews>
    <sheetView topLeftCell="A4" workbookViewId="0">
      <selection activeCell="A45" sqref="A45:XFD45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13.1640625" customWidth="1"/>
    <col min="6" max="6" width="5.5" bestFit="1" customWidth="1"/>
    <col min="7" max="7" width="9.5" bestFit="1" customWidth="1"/>
  </cols>
  <sheetData>
    <row r="1" spans="1:10" ht="27" thickBot="1">
      <c r="A1" s="888" t="s">
        <v>423</v>
      </c>
      <c r="B1" s="889"/>
      <c r="C1" s="889"/>
      <c r="D1" s="890"/>
    </row>
    <row r="2" spans="1:10" ht="15" thickBot="1">
      <c r="A2" s="891" t="s">
        <v>3</v>
      </c>
      <c r="B2" s="892"/>
      <c r="C2" s="892"/>
      <c r="D2" s="893"/>
    </row>
    <row r="3" spans="1:10">
      <c r="A3" s="321" t="s">
        <v>248</v>
      </c>
      <c r="B3" s="311">
        <v>2</v>
      </c>
      <c r="C3" s="895" t="s">
        <v>30</v>
      </c>
      <c r="D3" s="896"/>
    </row>
    <row r="4" spans="1:10">
      <c r="A4" s="322" t="s">
        <v>249</v>
      </c>
      <c r="B4" s="315">
        <v>2</v>
      </c>
      <c r="C4" s="947" t="s">
        <v>30</v>
      </c>
      <c r="D4" s="948"/>
    </row>
    <row r="5" spans="1:10" ht="12" thickBot="1">
      <c r="A5" s="323" t="s">
        <v>393</v>
      </c>
      <c r="B5" s="324">
        <v>0.5</v>
      </c>
      <c r="C5" s="1031" t="s">
        <v>30</v>
      </c>
      <c r="D5" s="1032"/>
    </row>
    <row r="6" spans="1:10">
      <c r="A6" s="235" t="s">
        <v>424</v>
      </c>
      <c r="B6" s="236">
        <v>1</v>
      </c>
      <c r="C6" s="1033" t="s">
        <v>30</v>
      </c>
      <c r="D6" s="1034"/>
      <c r="H6" s="87"/>
    </row>
    <row r="7" spans="1:10" ht="12" thickBot="1">
      <c r="A7" s="325" t="s">
        <v>425</v>
      </c>
      <c r="B7" s="333">
        <v>1</v>
      </c>
      <c r="C7" s="1035" t="s">
        <v>30</v>
      </c>
      <c r="D7" s="1036"/>
      <c r="H7" s="87"/>
    </row>
    <row r="8" spans="1:10">
      <c r="A8" s="225" t="s">
        <v>202</v>
      </c>
      <c r="B8" s="227">
        <v>2</v>
      </c>
      <c r="C8" s="1026" t="s">
        <v>30</v>
      </c>
      <c r="D8" s="1026"/>
      <c r="E8" s="252"/>
      <c r="H8" s="87"/>
      <c r="I8" s="87"/>
      <c r="J8" s="87"/>
    </row>
    <row r="9" spans="1:10" ht="12" thickBot="1">
      <c r="A9" s="174" t="s">
        <v>205</v>
      </c>
      <c r="B9" s="106">
        <v>3</v>
      </c>
      <c r="C9" s="1002" t="s">
        <v>30</v>
      </c>
      <c r="D9" s="1002"/>
      <c r="E9" s="253"/>
      <c r="H9" s="87"/>
      <c r="I9" s="87"/>
      <c r="J9" s="87"/>
    </row>
    <row r="10" spans="1:10" ht="12" thickBot="1">
      <c r="A10" s="1003" t="s">
        <v>253</v>
      </c>
      <c r="B10" s="1003"/>
      <c r="C10" s="1003"/>
      <c r="D10" s="1003"/>
      <c r="H10" s="87"/>
    </row>
    <row r="11" spans="1:10">
      <c r="A11" s="235" t="s">
        <v>394</v>
      </c>
      <c r="B11" s="236">
        <v>0</v>
      </c>
      <c r="C11" s="1004" t="s">
        <v>33</v>
      </c>
      <c r="D11" s="1005"/>
      <c r="H11" s="87"/>
    </row>
    <row r="12" spans="1:10">
      <c r="A12" s="237" t="s">
        <v>395</v>
      </c>
      <c r="B12" s="238">
        <v>0</v>
      </c>
      <c r="C12" s="944" t="s">
        <v>33</v>
      </c>
      <c r="D12" s="945"/>
      <c r="F12" s="87"/>
      <c r="G12" s="87"/>
      <c r="H12" s="87"/>
    </row>
    <row r="13" spans="1:10">
      <c r="A13" s="237" t="s">
        <v>396</v>
      </c>
      <c r="B13" s="239">
        <v>0</v>
      </c>
      <c r="C13" s="946" t="s">
        <v>33</v>
      </c>
      <c r="D13" s="948"/>
      <c r="F13" s="87"/>
      <c r="G13" s="87"/>
      <c r="H13" s="87"/>
    </row>
    <row r="14" spans="1:10">
      <c r="A14" s="237" t="s">
        <v>397</v>
      </c>
      <c r="B14" s="238">
        <v>0</v>
      </c>
      <c r="C14" s="944" t="s">
        <v>33</v>
      </c>
      <c r="D14" s="945"/>
      <c r="F14" s="87"/>
      <c r="G14" s="87"/>
      <c r="H14" s="87"/>
    </row>
    <row r="15" spans="1:10" ht="12" thickBot="1">
      <c r="A15" s="325" t="s">
        <v>398</v>
      </c>
      <c r="B15" s="326">
        <v>1</v>
      </c>
      <c r="C15" s="1029" t="s">
        <v>33</v>
      </c>
      <c r="D15" s="1030"/>
      <c r="F15" s="87"/>
      <c r="G15" s="87"/>
      <c r="H15" s="87"/>
    </row>
    <row r="16" spans="1:10" ht="12" thickBot="1">
      <c r="A16" s="1016"/>
      <c r="B16" s="1017"/>
      <c r="C16" s="1017"/>
      <c r="D16" s="1018"/>
      <c r="F16" s="87"/>
      <c r="G16" s="87"/>
      <c r="H16" s="87"/>
    </row>
    <row r="17" spans="1:8" ht="12" thickBot="1">
      <c r="A17" s="327" t="s">
        <v>399</v>
      </c>
      <c r="B17" s="241">
        <v>1</v>
      </c>
      <c r="C17" s="1019" t="s">
        <v>400</v>
      </c>
      <c r="D17" s="1020"/>
      <c r="F17" s="87"/>
      <c r="G17" s="87"/>
      <c r="H17" s="87"/>
    </row>
    <row r="18" spans="1:8">
      <c r="A18" s="240" t="s">
        <v>257</v>
      </c>
      <c r="B18" s="241">
        <f>CEILING((B3-0.15)/0.4,1)+1</f>
        <v>6</v>
      </c>
      <c r="C18" s="1019" t="s">
        <v>29</v>
      </c>
      <c r="D18" s="1020"/>
      <c r="E18" s="89"/>
      <c r="F18" s="87"/>
      <c r="G18" s="87"/>
      <c r="H18" s="87"/>
    </row>
    <row r="19" spans="1:8" ht="12" thickBot="1">
      <c r="A19" s="242" t="s">
        <v>258</v>
      </c>
      <c r="B19" s="243">
        <f>SUM(B6:B7)</f>
        <v>2</v>
      </c>
      <c r="C19" s="1021" t="s">
        <v>29</v>
      </c>
      <c r="D19" s="1022"/>
      <c r="E19" s="89"/>
      <c r="F19" s="87"/>
      <c r="G19" s="87"/>
      <c r="H19" s="87"/>
    </row>
    <row r="20" spans="1:8" ht="12" thickBot="1">
      <c r="A20" s="973"/>
      <c r="B20" s="973"/>
      <c r="C20" s="973"/>
      <c r="D20" s="973"/>
      <c r="F20" s="87"/>
      <c r="G20" s="87"/>
      <c r="H20" s="87"/>
    </row>
    <row r="21" spans="1:8" ht="12.75">
      <c r="A21" s="318" t="s">
        <v>7</v>
      </c>
      <c r="B21" s="319" t="s">
        <v>0</v>
      </c>
      <c r="C21" s="66" t="s">
        <v>4</v>
      </c>
      <c r="D21" s="320" t="s">
        <v>8</v>
      </c>
      <c r="F21" s="87"/>
      <c r="G21" s="87"/>
      <c r="H21" s="87"/>
    </row>
    <row r="22" spans="1:8">
      <c r="A22" s="334" t="s">
        <v>401</v>
      </c>
      <c r="B22" s="97">
        <f>(B3-0.003)*B19</f>
        <v>3.9940000000000002</v>
      </c>
      <c r="C22" s="310"/>
      <c r="D22" s="313">
        <f t="shared" ref="D22:D53" si="0">B22*C22</f>
        <v>0</v>
      </c>
      <c r="F22" s="87"/>
      <c r="G22" s="87"/>
      <c r="H22" s="87"/>
    </row>
    <row r="23" spans="1:8">
      <c r="A23" s="334" t="s">
        <v>402</v>
      </c>
      <c r="B23" s="97">
        <f>(B3-0.003)*B19</f>
        <v>3.9940000000000002</v>
      </c>
      <c r="C23" s="310"/>
      <c r="D23" s="313">
        <f t="shared" si="0"/>
        <v>0</v>
      </c>
      <c r="F23" s="87"/>
      <c r="G23" s="87"/>
      <c r="H23" s="87"/>
    </row>
    <row r="24" spans="1:8">
      <c r="A24" s="334" t="s">
        <v>403</v>
      </c>
      <c r="B24" s="98">
        <f>(B3-0.003)*B19*2</f>
        <v>7.9880000000000004</v>
      </c>
      <c r="C24" s="64"/>
      <c r="D24" s="314">
        <f t="shared" si="0"/>
        <v>0</v>
      </c>
      <c r="F24" s="87"/>
      <c r="G24" s="87"/>
      <c r="H24" s="87"/>
    </row>
    <row r="25" spans="1:8">
      <c r="A25" s="334" t="s">
        <v>404</v>
      </c>
      <c r="B25" s="98">
        <f>(B3-0.002)*B19*2</f>
        <v>7.992</v>
      </c>
      <c r="C25" s="64"/>
      <c r="D25" s="314">
        <f t="shared" si="0"/>
        <v>0</v>
      </c>
    </row>
    <row r="26" spans="1:8">
      <c r="A26" s="334" t="s">
        <v>405</v>
      </c>
      <c r="B26" s="98">
        <f>(B3-0.695)*B19</f>
        <v>2.6100000000000003</v>
      </c>
      <c r="C26" s="64"/>
      <c r="D26" s="314">
        <f t="shared" si="0"/>
        <v>0</v>
      </c>
    </row>
    <row r="27" spans="1:8">
      <c r="A27" s="334" t="s">
        <v>406</v>
      </c>
      <c r="B27" s="98">
        <f>B28</f>
        <v>2</v>
      </c>
      <c r="C27" s="64"/>
      <c r="D27" s="314"/>
    </row>
    <row r="28" spans="1:8">
      <c r="A28" s="334" t="s">
        <v>407</v>
      </c>
      <c r="B28" s="98">
        <f>2*B7</f>
        <v>2</v>
      </c>
      <c r="C28" s="64"/>
      <c r="D28" s="314">
        <f t="shared" si="0"/>
        <v>0</v>
      </c>
    </row>
    <row r="29" spans="1:8">
      <c r="A29" s="334" t="s">
        <v>408</v>
      </c>
      <c r="B29" s="98">
        <f>B19*2</f>
        <v>4</v>
      </c>
      <c r="C29" s="64"/>
      <c r="D29" s="314">
        <f t="shared" si="0"/>
        <v>0</v>
      </c>
    </row>
    <row r="30" spans="1:8">
      <c r="A30" s="334" t="s">
        <v>409</v>
      </c>
      <c r="B30" s="98">
        <f>2*B19</f>
        <v>4</v>
      </c>
      <c r="C30" s="64"/>
      <c r="D30" s="314">
        <f t="shared" si="0"/>
        <v>0</v>
      </c>
    </row>
    <row r="31" spans="1:8">
      <c r="A31" s="334" t="s">
        <v>410</v>
      </c>
      <c r="B31" s="98">
        <f>B18*B19</f>
        <v>12</v>
      </c>
      <c r="C31" s="64"/>
      <c r="D31" s="314">
        <f t="shared" si="0"/>
        <v>0</v>
      </c>
    </row>
    <row r="32" spans="1:8">
      <c r="A32" s="334" t="s">
        <v>411</v>
      </c>
      <c r="B32" s="98">
        <f>B18*B19</f>
        <v>12</v>
      </c>
      <c r="C32" s="64"/>
      <c r="D32" s="314">
        <f t="shared" si="0"/>
        <v>0</v>
      </c>
    </row>
    <row r="33" spans="1:5">
      <c r="A33" s="334" t="s">
        <v>412</v>
      </c>
      <c r="B33" s="98">
        <f>IF($B$17=1,$B$18*$B$19,0)</f>
        <v>12</v>
      </c>
      <c r="C33" s="64"/>
      <c r="D33" s="314">
        <f t="shared" si="0"/>
        <v>0</v>
      </c>
    </row>
    <row r="34" spans="1:5">
      <c r="A34" s="334" t="s">
        <v>413</v>
      </c>
      <c r="B34" s="98">
        <f>B33</f>
        <v>12</v>
      </c>
      <c r="C34" s="64"/>
      <c r="D34" s="314">
        <f t="shared" si="0"/>
        <v>0</v>
      </c>
    </row>
    <row r="35" spans="1:5">
      <c r="A35" s="334" t="s">
        <v>275</v>
      </c>
      <c r="B35" s="98">
        <f>(IF(B4&gt;2,B18+4,B18+3))*B19+4*B7</f>
        <v>22</v>
      </c>
      <c r="C35" s="64"/>
      <c r="D35" s="314">
        <f t="shared" si="0"/>
        <v>0</v>
      </c>
      <c r="E35" t="s">
        <v>429</v>
      </c>
    </row>
    <row r="36" spans="1:5">
      <c r="A36" s="334" t="s">
        <v>414</v>
      </c>
      <c r="B36" s="98">
        <f>1*B7</f>
        <v>1</v>
      </c>
      <c r="C36" s="64"/>
      <c r="D36" s="314">
        <f t="shared" si="0"/>
        <v>0</v>
      </c>
    </row>
    <row r="37" spans="1:5">
      <c r="A37" s="334" t="s">
        <v>266</v>
      </c>
      <c r="B37" s="98">
        <f>(IF(B4&gt;2,B18,0))*B19</f>
        <v>0</v>
      </c>
      <c r="C37" s="64"/>
      <c r="D37" s="314">
        <f t="shared" si="0"/>
        <v>0</v>
      </c>
      <c r="E37" s="332"/>
    </row>
    <row r="38" spans="1:5">
      <c r="A38" s="334" t="s">
        <v>267</v>
      </c>
      <c r="B38" s="98">
        <f>(IF(B4&lt;=2,B18,0))*B19</f>
        <v>12</v>
      </c>
      <c r="C38" s="64"/>
      <c r="D38" s="314">
        <f t="shared" si="0"/>
        <v>0</v>
      </c>
      <c r="E38" s="332"/>
    </row>
    <row r="39" spans="1:5">
      <c r="A39" s="334" t="s">
        <v>427</v>
      </c>
      <c r="B39" s="98">
        <f>B19</f>
        <v>2</v>
      </c>
      <c r="C39" s="64"/>
      <c r="D39" s="314">
        <f t="shared" si="0"/>
        <v>0</v>
      </c>
    </row>
    <row r="40" spans="1:5">
      <c r="A40" s="334" t="s">
        <v>415</v>
      </c>
      <c r="B40" s="98">
        <f>B19</f>
        <v>2</v>
      </c>
      <c r="C40" s="64"/>
      <c r="D40" s="314">
        <f t="shared" si="0"/>
        <v>0</v>
      </c>
    </row>
    <row r="41" spans="1:5">
      <c r="A41" s="334" t="s">
        <v>428</v>
      </c>
      <c r="B41" s="98">
        <f>B19</f>
        <v>2</v>
      </c>
      <c r="C41" s="64"/>
      <c r="D41" s="314">
        <f t="shared" si="0"/>
        <v>0</v>
      </c>
    </row>
    <row r="42" spans="1:5">
      <c r="A42" s="334" t="s">
        <v>426</v>
      </c>
      <c r="B42" s="98">
        <f>B19</f>
        <v>2</v>
      </c>
      <c r="C42" s="64"/>
      <c r="D42" s="314">
        <f t="shared" si="0"/>
        <v>0</v>
      </c>
      <c r="E42" s="89"/>
    </row>
    <row r="43" spans="1:5">
      <c r="A43" s="334" t="s">
        <v>430</v>
      </c>
      <c r="B43" s="98">
        <f>(B4+0.2)*B19*B18+($B$3+2*$B$4+0.3)*$B$7</f>
        <v>32.700000000000003</v>
      </c>
      <c r="C43" s="64"/>
      <c r="D43" s="314">
        <f>B43*C43</f>
        <v>0</v>
      </c>
      <c r="E43" s="89"/>
    </row>
    <row r="44" spans="1:5">
      <c r="A44" s="334" t="s">
        <v>416</v>
      </c>
      <c r="B44" s="98">
        <f>IF(B17=1,(B4+0.1)*B18*B19,0)</f>
        <v>25.200000000000003</v>
      </c>
      <c r="C44" s="64"/>
      <c r="D44" s="314">
        <f t="shared" si="0"/>
        <v>0</v>
      </c>
      <c r="E44" s="89"/>
    </row>
    <row r="45" spans="1:5" ht="11.25" customHeight="1">
      <c r="A45" s="166" t="s">
        <v>233</v>
      </c>
      <c r="B45" s="98">
        <f>B8</f>
        <v>2</v>
      </c>
      <c r="C45" s="64"/>
      <c r="D45" s="314">
        <f>B45*C45</f>
        <v>0</v>
      </c>
    </row>
    <row r="46" spans="1:5" ht="11.25" customHeight="1" thickBot="1">
      <c r="A46" s="36" t="s">
        <v>243</v>
      </c>
      <c r="B46" s="98">
        <f>B9</f>
        <v>3</v>
      </c>
      <c r="C46" s="64"/>
      <c r="D46" s="314">
        <f>B46*C46</f>
        <v>0</v>
      </c>
    </row>
    <row r="47" spans="1:5" ht="12" thickBot="1">
      <c r="A47" s="1009"/>
      <c r="B47" s="1010"/>
      <c r="C47" s="1010"/>
      <c r="D47" s="1011"/>
    </row>
    <row r="48" spans="1:5" ht="12.75">
      <c r="A48" s="1006" t="s">
        <v>253</v>
      </c>
      <c r="B48" s="1007"/>
      <c r="C48" s="1007"/>
      <c r="D48" s="1008"/>
    </row>
    <row r="49" spans="1:8">
      <c r="A49" s="244" t="s">
        <v>417</v>
      </c>
      <c r="B49" s="98">
        <f>IF(B11=1,F64*B19,0)</f>
        <v>0</v>
      </c>
      <c r="C49" s="64"/>
      <c r="D49" s="314">
        <f t="shared" si="0"/>
        <v>0</v>
      </c>
      <c r="E49" s="89"/>
    </row>
    <row r="50" spans="1:8">
      <c r="A50" s="244" t="s">
        <v>418</v>
      </c>
      <c r="B50" s="98">
        <f>B7*2</f>
        <v>2</v>
      </c>
      <c r="C50" s="64"/>
      <c r="D50" s="314">
        <f t="shared" si="0"/>
        <v>0</v>
      </c>
      <c r="E50" s="89"/>
    </row>
    <row r="51" spans="1:8">
      <c r="A51" s="244" t="s">
        <v>395</v>
      </c>
      <c r="B51" s="98">
        <f>IF(B12=1,F64*B19+2*B7,0)</f>
        <v>0</v>
      </c>
      <c r="C51" s="64"/>
      <c r="D51" s="314">
        <f t="shared" si="0"/>
        <v>0</v>
      </c>
      <c r="E51" s="89"/>
    </row>
    <row r="52" spans="1:8">
      <c r="A52" s="244" t="s">
        <v>396</v>
      </c>
      <c r="B52" s="98">
        <f>IF(B13=1,F64*B19+2*B7,0)</f>
        <v>0</v>
      </c>
      <c r="C52" s="64"/>
      <c r="D52" s="314">
        <v>0</v>
      </c>
    </row>
    <row r="53" spans="1:8">
      <c r="A53" s="244" t="s">
        <v>397</v>
      </c>
      <c r="B53" s="98">
        <f>IF(B14=1,F64*B19+2*B7,0)</f>
        <v>0</v>
      </c>
      <c r="C53" s="64"/>
      <c r="D53" s="314">
        <f t="shared" si="0"/>
        <v>0</v>
      </c>
    </row>
    <row r="54" spans="1:8">
      <c r="A54" s="244" t="s">
        <v>398</v>
      </c>
      <c r="B54" s="98">
        <f>IF(B15=1,F64*B19+2*B7,0)</f>
        <v>12</v>
      </c>
      <c r="C54" s="64"/>
      <c r="D54" s="314">
        <f>B54*C54</f>
        <v>0</v>
      </c>
    </row>
    <row r="55" spans="1:8">
      <c r="A55" s="244"/>
      <c r="B55" s="98"/>
      <c r="C55" s="64"/>
      <c r="D55" s="314"/>
    </row>
    <row r="56" spans="1:8">
      <c r="A56" s="244"/>
      <c r="B56" s="98"/>
      <c r="C56" s="64" t="s">
        <v>9</v>
      </c>
      <c r="D56" s="314">
        <f>SUM(D22:D55)</f>
        <v>0</v>
      </c>
    </row>
    <row r="60" spans="1:8">
      <c r="G60">
        <f>CEILING((B3-0.15)/0.6,1)+1</f>
        <v>5</v>
      </c>
    </row>
    <row r="62" spans="1:8" ht="12" thickBot="1">
      <c r="F62" s="994" t="s">
        <v>29</v>
      </c>
      <c r="G62" s="994"/>
      <c r="H62" s="994"/>
    </row>
    <row r="63" spans="1:8">
      <c r="F63" s="1027" t="s">
        <v>419</v>
      </c>
      <c r="G63" s="1028"/>
      <c r="H63" s="979"/>
    </row>
    <row r="64" spans="1:8">
      <c r="F64" s="328">
        <f>G60</f>
        <v>5</v>
      </c>
      <c r="G64" s="312">
        <f>F64*B6</f>
        <v>5</v>
      </c>
      <c r="H64" s="313">
        <v>0</v>
      </c>
    </row>
    <row r="65" spans="6:8">
      <c r="F65" s="328">
        <f>G60*2</f>
        <v>10</v>
      </c>
      <c r="G65" s="312">
        <f>F65*B7</f>
        <v>10</v>
      </c>
      <c r="H65" s="313">
        <v>0</v>
      </c>
    </row>
    <row r="66" spans="6:8" ht="12" thickBot="1">
      <c r="F66" s="329">
        <f>G60</f>
        <v>5</v>
      </c>
      <c r="G66" s="316" t="e">
        <f>F66*#REF!</f>
        <v>#REF!</v>
      </c>
      <c r="H66" s="317" t="e">
        <f>2*#REF!</f>
        <v>#REF!</v>
      </c>
    </row>
    <row r="67" spans="6:8" ht="12" thickBot="1">
      <c r="F67" s="330">
        <f>SUM(F64:F66)</f>
        <v>20</v>
      </c>
      <c r="G67" s="331" t="e">
        <f>SUM(G64:G66)</f>
        <v>#REF!</v>
      </c>
      <c r="H67" s="331" t="e">
        <f>SUM(H64:H66)</f>
        <v>#REF!</v>
      </c>
    </row>
    <row r="68" spans="6:8">
      <c r="F68" s="135" t="s">
        <v>420</v>
      </c>
      <c r="G68" s="135" t="s">
        <v>421</v>
      </c>
      <c r="H68" s="135" t="s">
        <v>422</v>
      </c>
    </row>
  </sheetData>
  <mergeCells count="24">
    <mergeCell ref="C14:D14"/>
    <mergeCell ref="C8:D8"/>
    <mergeCell ref="C9:D9"/>
    <mergeCell ref="A1:D1"/>
    <mergeCell ref="A2:D2"/>
    <mergeCell ref="C3:D3"/>
    <mergeCell ref="C4:D4"/>
    <mergeCell ref="C5:D5"/>
    <mergeCell ref="C6:D6"/>
    <mergeCell ref="C7:D7"/>
    <mergeCell ref="A10:D10"/>
    <mergeCell ref="C11:D11"/>
    <mergeCell ref="C12:D12"/>
    <mergeCell ref="C13:D13"/>
    <mergeCell ref="A47:D47"/>
    <mergeCell ref="A48:D48"/>
    <mergeCell ref="F62:H62"/>
    <mergeCell ref="F63:H63"/>
    <mergeCell ref="C15:D15"/>
    <mergeCell ref="A16:D16"/>
    <mergeCell ref="C17:D17"/>
    <mergeCell ref="C18:D18"/>
    <mergeCell ref="C19:D19"/>
    <mergeCell ref="A20:D20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J68"/>
  <sheetViews>
    <sheetView workbookViewId="0">
      <selection activeCell="B35" sqref="B35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40" customWidth="1"/>
    <col min="6" max="6" width="5.5" bestFit="1" customWidth="1"/>
    <col min="7" max="7" width="9.5" bestFit="1" customWidth="1"/>
  </cols>
  <sheetData>
    <row r="1" spans="1:10" ht="27" thickBot="1">
      <c r="A1" s="888" t="s">
        <v>431</v>
      </c>
      <c r="B1" s="889"/>
      <c r="C1" s="889"/>
      <c r="D1" s="890"/>
    </row>
    <row r="2" spans="1:10" ht="15" thickBot="1">
      <c r="A2" s="891" t="s">
        <v>3</v>
      </c>
      <c r="B2" s="892"/>
      <c r="C2" s="892"/>
      <c r="D2" s="893"/>
    </row>
    <row r="3" spans="1:10">
      <c r="A3" s="321" t="s">
        <v>248</v>
      </c>
      <c r="B3" s="311">
        <v>2</v>
      </c>
      <c r="C3" s="895" t="s">
        <v>30</v>
      </c>
      <c r="D3" s="896"/>
    </row>
    <row r="4" spans="1:10">
      <c r="A4" s="322" t="s">
        <v>249</v>
      </c>
      <c r="B4" s="315">
        <v>2</v>
      </c>
      <c r="C4" s="947" t="s">
        <v>30</v>
      </c>
      <c r="D4" s="948"/>
    </row>
    <row r="5" spans="1:10" ht="12" thickBot="1">
      <c r="A5" s="323" t="s">
        <v>393</v>
      </c>
      <c r="B5" s="324">
        <v>0.5</v>
      </c>
      <c r="C5" s="1031" t="s">
        <v>30</v>
      </c>
      <c r="D5" s="1032"/>
    </row>
    <row r="6" spans="1:10">
      <c r="A6" s="235" t="s">
        <v>432</v>
      </c>
      <c r="B6" s="236">
        <v>1</v>
      </c>
      <c r="C6" s="1033" t="s">
        <v>30</v>
      </c>
      <c r="D6" s="1034"/>
      <c r="H6" s="87"/>
    </row>
    <row r="7" spans="1:10" ht="12" thickBot="1">
      <c r="A7" s="325" t="s">
        <v>433</v>
      </c>
      <c r="B7" s="333">
        <v>1</v>
      </c>
      <c r="C7" s="1035" t="s">
        <v>30</v>
      </c>
      <c r="D7" s="1036"/>
      <c r="H7" s="87"/>
    </row>
    <row r="8" spans="1:10">
      <c r="A8" s="225" t="s">
        <v>202</v>
      </c>
      <c r="B8" s="227">
        <v>2</v>
      </c>
      <c r="C8" s="1026" t="s">
        <v>30</v>
      </c>
      <c r="D8" s="1026"/>
      <c r="E8" s="252"/>
      <c r="H8" s="87"/>
      <c r="I8" s="87"/>
      <c r="J8" s="87"/>
    </row>
    <row r="9" spans="1:10" ht="12" thickBot="1">
      <c r="A9" s="174" t="s">
        <v>205</v>
      </c>
      <c r="B9" s="106">
        <v>3</v>
      </c>
      <c r="C9" s="1002" t="s">
        <v>30</v>
      </c>
      <c r="D9" s="1002"/>
      <c r="E9" s="253"/>
      <c r="H9" s="87"/>
      <c r="I9" s="87"/>
      <c r="J9" s="87"/>
    </row>
    <row r="10" spans="1:10" ht="12" thickBot="1">
      <c r="A10" s="1003" t="s">
        <v>253</v>
      </c>
      <c r="B10" s="1003"/>
      <c r="C10" s="1003"/>
      <c r="D10" s="1003"/>
      <c r="H10" s="87"/>
    </row>
    <row r="11" spans="1:10">
      <c r="A11" s="235" t="s">
        <v>394</v>
      </c>
      <c r="B11" s="236">
        <v>0</v>
      </c>
      <c r="C11" s="1004" t="s">
        <v>33</v>
      </c>
      <c r="D11" s="1005"/>
      <c r="H11" s="87"/>
    </row>
    <row r="12" spans="1:10">
      <c r="A12" s="237" t="s">
        <v>395</v>
      </c>
      <c r="B12" s="238">
        <v>0</v>
      </c>
      <c r="C12" s="944" t="s">
        <v>33</v>
      </c>
      <c r="D12" s="945"/>
      <c r="F12" s="87"/>
      <c r="G12" s="87"/>
      <c r="H12" s="87"/>
    </row>
    <row r="13" spans="1:10">
      <c r="A13" s="237" t="s">
        <v>396</v>
      </c>
      <c r="B13" s="239">
        <v>0</v>
      </c>
      <c r="C13" s="946" t="s">
        <v>33</v>
      </c>
      <c r="D13" s="948"/>
      <c r="F13" s="87"/>
      <c r="G13" s="87"/>
      <c r="H13" s="87"/>
    </row>
    <row r="14" spans="1:10">
      <c r="A14" s="237" t="s">
        <v>397</v>
      </c>
      <c r="B14" s="238">
        <v>0</v>
      </c>
      <c r="C14" s="944" t="s">
        <v>33</v>
      </c>
      <c r="D14" s="945"/>
      <c r="F14" s="87"/>
      <c r="G14" s="87"/>
      <c r="H14" s="87"/>
    </row>
    <row r="15" spans="1:10" ht="12" thickBot="1">
      <c r="A15" s="325" t="s">
        <v>398</v>
      </c>
      <c r="B15" s="326">
        <v>1</v>
      </c>
      <c r="C15" s="1029" t="s">
        <v>33</v>
      </c>
      <c r="D15" s="1030"/>
      <c r="F15" s="87"/>
      <c r="G15" s="87"/>
      <c r="H15" s="87"/>
    </row>
    <row r="16" spans="1:10" ht="12" thickBot="1">
      <c r="A16" s="1016"/>
      <c r="B16" s="1017"/>
      <c r="C16" s="1017"/>
      <c r="D16" s="1018"/>
      <c r="F16" s="87"/>
      <c r="G16" s="87"/>
      <c r="H16" s="87"/>
    </row>
    <row r="17" spans="1:8" ht="12" thickBot="1">
      <c r="A17" s="327" t="s">
        <v>399</v>
      </c>
      <c r="B17" s="241">
        <v>1</v>
      </c>
      <c r="C17" s="1019" t="s">
        <v>400</v>
      </c>
      <c r="D17" s="1020"/>
      <c r="F17" s="87"/>
      <c r="G17" s="87"/>
      <c r="H17" s="87"/>
    </row>
    <row r="18" spans="1:8">
      <c r="A18" s="240" t="s">
        <v>257</v>
      </c>
      <c r="B18" s="241">
        <f>CEILING((B3-0.15)/0.4,1)+1</f>
        <v>6</v>
      </c>
      <c r="C18" s="1019" t="s">
        <v>29</v>
      </c>
      <c r="D18" s="1020"/>
      <c r="E18" s="89"/>
      <c r="F18" s="87"/>
      <c r="G18" s="87"/>
      <c r="H18" s="87"/>
    </row>
    <row r="19" spans="1:8" ht="12" thickBot="1">
      <c r="A19" s="242" t="s">
        <v>258</v>
      </c>
      <c r="B19" s="243">
        <f>SUM(B6:B7)</f>
        <v>2</v>
      </c>
      <c r="C19" s="1021" t="s">
        <v>29</v>
      </c>
      <c r="D19" s="1022"/>
      <c r="E19" s="89"/>
      <c r="F19" s="87"/>
      <c r="G19" s="87"/>
      <c r="H19" s="87"/>
    </row>
    <row r="20" spans="1:8" ht="12" thickBot="1">
      <c r="A20" s="973"/>
      <c r="B20" s="973"/>
      <c r="C20" s="973"/>
      <c r="D20" s="973"/>
      <c r="F20" s="87"/>
      <c r="G20" s="87"/>
      <c r="H20" s="87"/>
    </row>
    <row r="21" spans="1:8" ht="12.75">
      <c r="A21" s="318" t="s">
        <v>7</v>
      </c>
      <c r="B21" s="319" t="s">
        <v>0</v>
      </c>
      <c r="C21" s="66" t="s">
        <v>4</v>
      </c>
      <c r="D21" s="320" t="s">
        <v>8</v>
      </c>
      <c r="F21" s="87"/>
      <c r="G21" s="87"/>
      <c r="H21" s="87"/>
    </row>
    <row r="22" spans="1:8">
      <c r="A22" s="334" t="s">
        <v>401</v>
      </c>
      <c r="B22" s="97">
        <f>(B3-0.003)*B19</f>
        <v>3.9940000000000002</v>
      </c>
      <c r="C22" s="310"/>
      <c r="D22" s="313">
        <f t="shared" ref="D22:D53" si="0">B22*C22</f>
        <v>0</v>
      </c>
      <c r="F22" s="87"/>
      <c r="G22" s="87"/>
      <c r="H22" s="87"/>
    </row>
    <row r="23" spans="1:8">
      <c r="A23" s="334" t="s">
        <v>402</v>
      </c>
      <c r="B23" s="97">
        <f>(B3-0.003)*B19*2</f>
        <v>7.9880000000000004</v>
      </c>
      <c r="C23" s="310"/>
      <c r="D23" s="313">
        <f t="shared" si="0"/>
        <v>0</v>
      </c>
      <c r="F23" s="87"/>
      <c r="G23" s="87"/>
      <c r="H23" s="87"/>
    </row>
    <row r="24" spans="1:8">
      <c r="A24" s="334" t="s">
        <v>403</v>
      </c>
      <c r="B24" s="98">
        <f>(B3-0.003)*B19*3</f>
        <v>11.982000000000001</v>
      </c>
      <c r="C24" s="64"/>
      <c r="D24" s="314">
        <f t="shared" si="0"/>
        <v>0</v>
      </c>
      <c r="F24" s="87"/>
      <c r="G24" s="87"/>
      <c r="H24" s="87"/>
    </row>
    <row r="25" spans="1:8">
      <c r="A25" s="334" t="s">
        <v>404</v>
      </c>
      <c r="B25" s="98">
        <f>(B3-0.002)*B19*2</f>
        <v>7.992</v>
      </c>
      <c r="C25" s="64"/>
      <c r="D25" s="314">
        <f t="shared" si="0"/>
        <v>0</v>
      </c>
    </row>
    <row r="26" spans="1:8">
      <c r="A26" s="334" t="s">
        <v>405</v>
      </c>
      <c r="B26" s="98">
        <f>(B3-0.695)*B19</f>
        <v>2.6100000000000003</v>
      </c>
      <c r="C26" s="64"/>
      <c r="D26" s="314">
        <f t="shared" si="0"/>
        <v>0</v>
      </c>
    </row>
    <row r="27" spans="1:8">
      <c r="A27" s="334" t="s">
        <v>406</v>
      </c>
      <c r="B27" s="98">
        <f>B28</f>
        <v>2</v>
      </c>
      <c r="C27" s="64"/>
      <c r="D27" s="314"/>
    </row>
    <row r="28" spans="1:8">
      <c r="A28" s="334" t="s">
        <v>407</v>
      </c>
      <c r="B28" s="98">
        <f>2*B7</f>
        <v>2</v>
      </c>
      <c r="C28" s="64"/>
      <c r="D28" s="314">
        <f t="shared" si="0"/>
        <v>0</v>
      </c>
    </row>
    <row r="29" spans="1:8">
      <c r="A29" s="334" t="s">
        <v>408</v>
      </c>
      <c r="B29" s="98">
        <f>B19*2</f>
        <v>4</v>
      </c>
      <c r="C29" s="64"/>
      <c r="D29" s="314">
        <f t="shared" si="0"/>
        <v>0</v>
      </c>
    </row>
    <row r="30" spans="1:8">
      <c r="A30" s="334" t="s">
        <v>409</v>
      </c>
      <c r="B30" s="98">
        <f>4*B19</f>
        <v>8</v>
      </c>
      <c r="C30" s="64"/>
      <c r="D30" s="314">
        <f t="shared" si="0"/>
        <v>0</v>
      </c>
    </row>
    <row r="31" spans="1:8">
      <c r="A31" s="334" t="s">
        <v>410</v>
      </c>
      <c r="B31" s="98">
        <f>B18*B19*2</f>
        <v>24</v>
      </c>
      <c r="C31" s="64"/>
      <c r="D31" s="314">
        <f t="shared" si="0"/>
        <v>0</v>
      </c>
    </row>
    <row r="32" spans="1:8">
      <c r="A32" s="334" t="s">
        <v>411</v>
      </c>
      <c r="B32" s="98">
        <f>B18*B19</f>
        <v>12</v>
      </c>
      <c r="C32" s="64"/>
      <c r="D32" s="314">
        <f t="shared" si="0"/>
        <v>0</v>
      </c>
    </row>
    <row r="33" spans="1:5">
      <c r="A33" s="334" t="s">
        <v>412</v>
      </c>
      <c r="B33" s="98">
        <f>IF($B$17=1,$B$18*$B$19,0)</f>
        <v>12</v>
      </c>
      <c r="C33" s="64"/>
      <c r="D33" s="314">
        <f t="shared" si="0"/>
        <v>0</v>
      </c>
    </row>
    <row r="34" spans="1:5">
      <c r="A34" s="334" t="s">
        <v>413</v>
      </c>
      <c r="B34" s="98">
        <f>B33</f>
        <v>12</v>
      </c>
      <c r="C34" s="64"/>
      <c r="D34" s="314">
        <f t="shared" si="0"/>
        <v>0</v>
      </c>
    </row>
    <row r="35" spans="1:5">
      <c r="A35" s="334" t="s">
        <v>275</v>
      </c>
      <c r="B35" s="98">
        <f>B18*4*B19+8*B7</f>
        <v>56</v>
      </c>
      <c r="C35" s="64"/>
      <c r="D35" s="314">
        <f t="shared" si="0"/>
        <v>0</v>
      </c>
      <c r="E35" t="s">
        <v>435</v>
      </c>
    </row>
    <row r="36" spans="1:5">
      <c r="A36" s="334" t="s">
        <v>414</v>
      </c>
      <c r="B36" s="98">
        <f>1*B7</f>
        <v>1</v>
      </c>
      <c r="C36" s="64"/>
      <c r="D36" s="314">
        <f t="shared" si="0"/>
        <v>0</v>
      </c>
    </row>
    <row r="37" spans="1:5">
      <c r="A37" s="334" t="s">
        <v>266</v>
      </c>
      <c r="B37" s="98">
        <f>(IF(B4&gt;2,B18,0))*B19</f>
        <v>0</v>
      </c>
      <c r="C37" s="64"/>
      <c r="D37" s="314">
        <f t="shared" si="0"/>
        <v>0</v>
      </c>
      <c r="E37" s="1037" t="s">
        <v>434</v>
      </c>
    </row>
    <row r="38" spans="1:5">
      <c r="A38" s="334" t="s">
        <v>267</v>
      </c>
      <c r="B38" s="98">
        <f>(IF(B4&lt;=2,B18,0))*B19</f>
        <v>12</v>
      </c>
      <c r="C38" s="64"/>
      <c r="D38" s="314">
        <f t="shared" si="0"/>
        <v>0</v>
      </c>
      <c r="E38" s="1037"/>
    </row>
    <row r="39" spans="1:5">
      <c r="A39" s="334" t="s">
        <v>427</v>
      </c>
      <c r="B39" s="98">
        <f>B19</f>
        <v>2</v>
      </c>
      <c r="C39" s="64"/>
      <c r="D39" s="314">
        <f t="shared" si="0"/>
        <v>0</v>
      </c>
    </row>
    <row r="40" spans="1:5">
      <c r="A40" s="334" t="s">
        <v>415</v>
      </c>
      <c r="B40" s="98">
        <f>B19</f>
        <v>2</v>
      </c>
      <c r="C40" s="64"/>
      <c r="D40" s="314">
        <f t="shared" si="0"/>
        <v>0</v>
      </c>
    </row>
    <row r="41" spans="1:5">
      <c r="A41" s="334" t="s">
        <v>428</v>
      </c>
      <c r="B41" s="98">
        <f>B19</f>
        <v>2</v>
      </c>
      <c r="C41" s="64"/>
      <c r="D41" s="314">
        <f t="shared" si="0"/>
        <v>0</v>
      </c>
    </row>
    <row r="42" spans="1:5">
      <c r="A42" s="334" t="s">
        <v>426</v>
      </c>
      <c r="B42" s="98">
        <f>B19</f>
        <v>2</v>
      </c>
      <c r="C42" s="64"/>
      <c r="D42" s="314">
        <f t="shared" si="0"/>
        <v>0</v>
      </c>
      <c r="E42" s="89"/>
    </row>
    <row r="43" spans="1:5">
      <c r="A43" s="334" t="s">
        <v>430</v>
      </c>
      <c r="B43" s="98">
        <f>((B4*2+0.2)*(B18-2)+(B4+0.2)*3)*B19+($B$3+2*$B$4+0.3)*$B$7</f>
        <v>53.1</v>
      </c>
      <c r="C43" s="64"/>
      <c r="D43" s="314">
        <f t="shared" si="0"/>
        <v>0</v>
      </c>
      <c r="E43" s="89"/>
    </row>
    <row r="44" spans="1:5">
      <c r="A44" s="334" t="s">
        <v>416</v>
      </c>
      <c r="B44" s="98">
        <f>IF(B17=1,(B4+0.1)*B18*B19,0)</f>
        <v>25.200000000000003</v>
      </c>
      <c r="C44" s="64"/>
      <c r="D44" s="314">
        <f t="shared" si="0"/>
        <v>0</v>
      </c>
      <c r="E44" s="89"/>
    </row>
    <row r="45" spans="1:5" ht="11.25" customHeight="1">
      <c r="A45" s="335" t="s">
        <v>233</v>
      </c>
      <c r="B45" s="98">
        <f>B8</f>
        <v>2</v>
      </c>
      <c r="C45" s="64"/>
      <c r="D45" s="314">
        <f t="shared" si="0"/>
        <v>0</v>
      </c>
    </row>
    <row r="46" spans="1:5" ht="11.25" customHeight="1" thickBot="1">
      <c r="A46" s="336" t="s">
        <v>243</v>
      </c>
      <c r="B46" s="98">
        <f>B9</f>
        <v>3</v>
      </c>
      <c r="C46" s="64"/>
      <c r="D46" s="314">
        <f t="shared" si="0"/>
        <v>0</v>
      </c>
    </row>
    <row r="47" spans="1:5" ht="12" thickBot="1">
      <c r="A47" s="1009"/>
      <c r="B47" s="1010"/>
      <c r="C47" s="1010"/>
      <c r="D47" s="1011"/>
    </row>
    <row r="48" spans="1:5" ht="12.75">
      <c r="A48" s="1006" t="s">
        <v>253</v>
      </c>
      <c r="B48" s="1007"/>
      <c r="C48" s="1007"/>
      <c r="D48" s="1008"/>
    </row>
    <row r="49" spans="1:8">
      <c r="A49" s="244" t="s">
        <v>417</v>
      </c>
      <c r="B49" s="98">
        <f>IF(B11=1,F64*B19,0)</f>
        <v>0</v>
      </c>
      <c r="C49" s="64"/>
      <c r="D49" s="314">
        <f t="shared" si="0"/>
        <v>0</v>
      </c>
      <c r="E49" s="89"/>
    </row>
    <row r="50" spans="1:8">
      <c r="A50" s="244" t="s">
        <v>418</v>
      </c>
      <c r="B50" s="98">
        <f>B7*2</f>
        <v>2</v>
      </c>
      <c r="C50" s="64"/>
      <c r="D50" s="314">
        <f t="shared" si="0"/>
        <v>0</v>
      </c>
      <c r="E50" s="89"/>
    </row>
    <row r="51" spans="1:8">
      <c r="A51" s="244" t="s">
        <v>395</v>
      </c>
      <c r="B51" s="98">
        <f>IF(B12=1,F64*B19+2*B7,0)</f>
        <v>0</v>
      </c>
      <c r="C51" s="64"/>
      <c r="D51" s="314">
        <f t="shared" si="0"/>
        <v>0</v>
      </c>
      <c r="E51" s="89"/>
    </row>
    <row r="52" spans="1:8">
      <c r="A52" s="244" t="s">
        <v>396</v>
      </c>
      <c r="B52" s="98">
        <f>IF(B13=1,F64*B19+2*B7,0)</f>
        <v>0</v>
      </c>
      <c r="C52" s="64"/>
      <c r="D52" s="314">
        <v>0</v>
      </c>
    </row>
    <row r="53" spans="1:8">
      <c r="A53" s="244" t="s">
        <v>397</v>
      </c>
      <c r="B53" s="98">
        <f>IF(B14=1,F64*B19+2*B7,0)</f>
        <v>0</v>
      </c>
      <c r="C53" s="64"/>
      <c r="D53" s="314">
        <f t="shared" si="0"/>
        <v>0</v>
      </c>
    </row>
    <row r="54" spans="1:8">
      <c r="A54" s="244" t="s">
        <v>398</v>
      </c>
      <c r="B54" s="98">
        <f>IF(B15=1,F64*B19+2*B7,0)</f>
        <v>12</v>
      </c>
      <c r="C54" s="64"/>
      <c r="D54" s="314">
        <f>B54*C54</f>
        <v>0</v>
      </c>
    </row>
    <row r="55" spans="1:8">
      <c r="A55" s="244"/>
      <c r="B55" s="98"/>
      <c r="C55" s="64"/>
      <c r="D55" s="314"/>
    </row>
    <row r="56" spans="1:8">
      <c r="A56" s="244"/>
      <c r="B56" s="98"/>
      <c r="C56" s="64" t="s">
        <v>9</v>
      </c>
      <c r="D56" s="314">
        <f>SUM(D22:D55)</f>
        <v>0</v>
      </c>
    </row>
    <row r="60" spans="1:8">
      <c r="G60">
        <f>CEILING((B3-0.15)/0.6,1)+1</f>
        <v>5</v>
      </c>
    </row>
    <row r="62" spans="1:8" ht="12" thickBot="1">
      <c r="F62" s="994" t="s">
        <v>29</v>
      </c>
      <c r="G62" s="994"/>
      <c r="H62" s="994"/>
    </row>
    <row r="63" spans="1:8">
      <c r="F63" s="1027" t="s">
        <v>419</v>
      </c>
      <c r="G63" s="1028"/>
      <c r="H63" s="979"/>
    </row>
    <row r="64" spans="1:8">
      <c r="F64" s="328">
        <f>G60</f>
        <v>5</v>
      </c>
      <c r="G64" s="312">
        <f>F64*B6</f>
        <v>5</v>
      </c>
      <c r="H64" s="313">
        <v>0</v>
      </c>
    </row>
    <row r="65" spans="6:8">
      <c r="F65" s="328">
        <f>G60*2</f>
        <v>10</v>
      </c>
      <c r="G65" s="312">
        <f>F65*B7</f>
        <v>10</v>
      </c>
      <c r="H65" s="313">
        <v>0</v>
      </c>
    </row>
    <row r="66" spans="6:8" ht="12" thickBot="1">
      <c r="F66" s="329">
        <f>G60</f>
        <v>5</v>
      </c>
      <c r="G66" s="316" t="e">
        <f>F66*#REF!</f>
        <v>#REF!</v>
      </c>
      <c r="H66" s="317" t="e">
        <f>2*#REF!</f>
        <v>#REF!</v>
      </c>
    </row>
    <row r="67" spans="6:8" ht="12" thickBot="1">
      <c r="F67" s="330">
        <f>SUM(F64:F66)</f>
        <v>20</v>
      </c>
      <c r="G67" s="331" t="e">
        <f>SUM(G64:G66)</f>
        <v>#REF!</v>
      </c>
      <c r="H67" s="331" t="e">
        <f>SUM(H64:H66)</f>
        <v>#REF!</v>
      </c>
    </row>
    <row r="68" spans="6:8">
      <c r="F68" s="135" t="s">
        <v>420</v>
      </c>
      <c r="G68" s="135" t="s">
        <v>421</v>
      </c>
      <c r="H68" s="135" t="s">
        <v>422</v>
      </c>
    </row>
  </sheetData>
  <mergeCells count="25">
    <mergeCell ref="C12:D12"/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A10:D10"/>
    <mergeCell ref="C11:D11"/>
    <mergeCell ref="F63:H63"/>
    <mergeCell ref="E37:E38"/>
    <mergeCell ref="C13:D13"/>
    <mergeCell ref="C14:D14"/>
    <mergeCell ref="C15:D15"/>
    <mergeCell ref="A16:D16"/>
    <mergeCell ref="C17:D17"/>
    <mergeCell ref="C18:D18"/>
    <mergeCell ref="C19:D19"/>
    <mergeCell ref="A20:D20"/>
    <mergeCell ref="A47:D47"/>
    <mergeCell ref="A48:D48"/>
    <mergeCell ref="F62:H6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D46"/>
  <sheetViews>
    <sheetView topLeftCell="A22" zoomScale="115" zoomScaleNormal="115" workbookViewId="0">
      <selection activeCell="B6" sqref="B6"/>
    </sheetView>
  </sheetViews>
  <sheetFormatPr defaultRowHeight="11.25"/>
  <cols>
    <col min="1" max="1" width="51.5" customWidth="1"/>
    <col min="2" max="2" width="25.33203125" customWidth="1"/>
    <col min="3" max="3" width="13.1640625" customWidth="1"/>
    <col min="4" max="4" width="13.83203125" customWidth="1"/>
    <col min="13" max="13" width="46" customWidth="1"/>
    <col min="14" max="14" width="32.6640625" customWidth="1"/>
  </cols>
  <sheetData>
    <row r="1" spans="1:4" ht="64.5" customHeight="1" thickBot="1">
      <c r="A1" s="995" t="s">
        <v>320</v>
      </c>
      <c r="B1" s="985"/>
      <c r="C1" s="985"/>
      <c r="D1" s="985"/>
    </row>
    <row r="2" spans="1:4">
      <c r="A2" s="132" t="s">
        <v>10</v>
      </c>
      <c r="B2" s="261">
        <v>10</v>
      </c>
      <c r="C2" s="895" t="s">
        <v>161</v>
      </c>
      <c r="D2" s="896"/>
    </row>
    <row r="3" spans="1:4" ht="12" thickBot="1">
      <c r="A3" s="134" t="s">
        <v>1</v>
      </c>
      <c r="B3" s="263">
        <v>1</v>
      </c>
      <c r="C3" s="976" t="s">
        <v>30</v>
      </c>
      <c r="D3" s="977"/>
    </row>
    <row r="4" spans="1:4" ht="22.5">
      <c r="A4" s="271" t="s">
        <v>318</v>
      </c>
      <c r="B4" s="264">
        <v>0</v>
      </c>
      <c r="C4" s="996" t="s">
        <v>30</v>
      </c>
      <c r="D4" s="997"/>
    </row>
    <row r="5" spans="1:4">
      <c r="A5" s="271" t="s">
        <v>319</v>
      </c>
      <c r="B5" s="264">
        <v>1</v>
      </c>
      <c r="C5" s="980" t="s">
        <v>30</v>
      </c>
      <c r="D5" s="981"/>
    </row>
    <row r="6" spans="1:4">
      <c r="A6" s="271" t="s">
        <v>322</v>
      </c>
      <c r="B6" s="264">
        <v>1</v>
      </c>
      <c r="C6" s="980" t="s">
        <v>30</v>
      </c>
      <c r="D6" s="981"/>
    </row>
    <row r="7" spans="1:4">
      <c r="A7" s="271" t="s">
        <v>321</v>
      </c>
      <c r="B7" s="264">
        <v>0</v>
      </c>
      <c r="C7" s="980" t="s">
        <v>30</v>
      </c>
      <c r="D7" s="981"/>
    </row>
    <row r="8" spans="1:4">
      <c r="A8" s="271" t="s">
        <v>323</v>
      </c>
      <c r="B8" s="264">
        <v>0</v>
      </c>
      <c r="C8" s="980" t="s">
        <v>30</v>
      </c>
      <c r="D8" s="981"/>
    </row>
    <row r="9" spans="1:4">
      <c r="A9" s="133" t="s">
        <v>152</v>
      </c>
      <c r="B9" s="262">
        <v>1</v>
      </c>
      <c r="C9" s="898" t="s">
        <v>29</v>
      </c>
      <c r="D9" s="899"/>
    </row>
    <row r="10" spans="1:4" ht="33.75" customHeight="1">
      <c r="A10" s="276" t="s">
        <v>329</v>
      </c>
      <c r="B10" s="277">
        <v>1</v>
      </c>
      <c r="C10" s="1040" t="s">
        <v>330</v>
      </c>
      <c r="D10" s="981"/>
    </row>
    <row r="11" spans="1:4">
      <c r="A11" s="276" t="s">
        <v>331</v>
      </c>
      <c r="B11" s="277">
        <v>1</v>
      </c>
      <c r="C11" s="278" t="s">
        <v>333</v>
      </c>
      <c r="D11" s="268" t="s">
        <v>332</v>
      </c>
    </row>
    <row r="12" spans="1:4">
      <c r="A12" s="275" t="s">
        <v>326</v>
      </c>
      <c r="B12" s="267">
        <v>1</v>
      </c>
      <c r="C12" s="269" t="s">
        <v>327</v>
      </c>
      <c r="D12" s="268" t="s">
        <v>328</v>
      </c>
    </row>
    <row r="13" spans="1:4" ht="12" thickBot="1">
      <c r="A13" s="190" t="s">
        <v>197</v>
      </c>
      <c r="B13" s="200">
        <v>1</v>
      </c>
      <c r="C13" s="1038" t="s">
        <v>30</v>
      </c>
      <c r="D13" s="1039"/>
    </row>
    <row r="14" spans="1:4" ht="12" thickBot="1">
      <c r="A14" s="994"/>
      <c r="B14" s="994"/>
      <c r="C14" s="994"/>
      <c r="D14" s="994"/>
    </row>
    <row r="15" spans="1:4" ht="12.75">
      <c r="A15" s="117" t="s">
        <v>5</v>
      </c>
      <c r="B15" s="118" t="s">
        <v>0</v>
      </c>
      <c r="C15" s="144" t="s">
        <v>4</v>
      </c>
      <c r="D15" s="265" t="s">
        <v>8</v>
      </c>
    </row>
    <row r="16" spans="1:4" ht="15">
      <c r="A16" s="272" t="s">
        <v>358</v>
      </c>
      <c r="B16" s="279">
        <f>(B2-0.165)*B9</f>
        <v>9.8350000000000009</v>
      </c>
      <c r="C16" s="6"/>
      <c r="D16" s="266">
        <f t="shared" ref="D16:D38" si="0">C16*B16</f>
        <v>0</v>
      </c>
    </row>
    <row r="17" spans="1:4" ht="15">
      <c r="A17" s="272" t="s">
        <v>770</v>
      </c>
      <c r="B17" s="274">
        <f>ROUNDUP(B2*8*B4,0)+EVEN(B2*8*B5)</f>
        <v>80</v>
      </c>
      <c r="C17" s="6"/>
      <c r="D17" s="266">
        <f t="shared" si="0"/>
        <v>0</v>
      </c>
    </row>
    <row r="18" spans="1:4" ht="15">
      <c r="A18" s="272" t="s">
        <v>324</v>
      </c>
      <c r="B18" s="274">
        <f>B9</f>
        <v>1</v>
      </c>
      <c r="C18" s="6"/>
      <c r="D18" s="266">
        <f t="shared" si="0"/>
        <v>0</v>
      </c>
    </row>
    <row r="19" spans="1:4" ht="15">
      <c r="A19" s="272" t="s">
        <v>325</v>
      </c>
      <c r="B19" s="274">
        <f>B9</f>
        <v>1</v>
      </c>
      <c r="C19" s="6"/>
      <c r="D19" s="266">
        <f t="shared" si="0"/>
        <v>0</v>
      </c>
    </row>
    <row r="20" spans="1:4" ht="15">
      <c r="A20" s="272" t="s">
        <v>305</v>
      </c>
      <c r="B20" s="274">
        <f>ROUNDUP(B2/0.5,0)*B9</f>
        <v>20</v>
      </c>
      <c r="C20" s="6"/>
      <c r="D20" s="266">
        <f t="shared" si="0"/>
        <v>0</v>
      </c>
    </row>
    <row r="21" spans="1:4" ht="15">
      <c r="A21" s="272" t="s">
        <v>309</v>
      </c>
      <c r="B21" s="274">
        <f>(IF(B10=2,ROUNDUP(B2/0.5,0),0))*B9</f>
        <v>0</v>
      </c>
      <c r="C21" s="266"/>
      <c r="D21" s="266">
        <f t="shared" si="0"/>
        <v>0</v>
      </c>
    </row>
    <row r="22" spans="1:4" ht="15">
      <c r="A22" s="272" t="s">
        <v>310</v>
      </c>
      <c r="B22" s="274">
        <f>(IF(B10=3,ROUNDUP(B2/0.5,0),0))*B9</f>
        <v>0</v>
      </c>
      <c r="C22" s="266"/>
      <c r="D22" s="266">
        <f t="shared" si="0"/>
        <v>0</v>
      </c>
    </row>
    <row r="23" spans="1:4" ht="15">
      <c r="A23" s="272" t="s">
        <v>771</v>
      </c>
      <c r="B23" s="274">
        <f>IF(B4=0,B5,B4)</f>
        <v>1</v>
      </c>
      <c r="C23" s="6"/>
      <c r="D23" s="266">
        <f t="shared" si="0"/>
        <v>0</v>
      </c>
    </row>
    <row r="24" spans="1:4" ht="15">
      <c r="A24" s="272" t="s">
        <v>772</v>
      </c>
      <c r="B24" s="274">
        <f>IF(B5=0,0,B5)</f>
        <v>1</v>
      </c>
      <c r="C24" s="6"/>
      <c r="D24" s="828">
        <f t="shared" ref="D24" si="1">C24*B24</f>
        <v>0</v>
      </c>
    </row>
    <row r="25" spans="1:4" ht="15">
      <c r="A25" s="272" t="s">
        <v>773</v>
      </c>
      <c r="B25" s="274">
        <f>IF(B5=0,0,B5)</f>
        <v>1</v>
      </c>
      <c r="C25" s="6"/>
      <c r="D25" s="828"/>
    </row>
    <row r="26" spans="1:4" ht="15">
      <c r="A26" s="272" t="s">
        <v>774</v>
      </c>
      <c r="B26" s="274">
        <f>IF(B5=0,0,B5)</f>
        <v>1</v>
      </c>
      <c r="C26" s="6"/>
      <c r="D26" s="828"/>
    </row>
    <row r="27" spans="1:4" ht="15">
      <c r="A27" s="272" t="s">
        <v>306</v>
      </c>
      <c r="B27" s="274">
        <f>B4*2+4*B5</f>
        <v>4</v>
      </c>
      <c r="C27" s="6"/>
      <c r="D27" s="266">
        <f t="shared" si="0"/>
        <v>0</v>
      </c>
    </row>
    <row r="28" spans="1:4" ht="15">
      <c r="A28" s="272" t="s">
        <v>307</v>
      </c>
      <c r="B28" s="274">
        <f>(IF(B11=1,(B2*2+0.11),0))*B9</f>
        <v>20.11</v>
      </c>
      <c r="C28" s="7"/>
      <c r="D28" s="266">
        <f t="shared" si="0"/>
        <v>0</v>
      </c>
    </row>
    <row r="29" spans="1:4" ht="15">
      <c r="A29" s="272" t="s">
        <v>311</v>
      </c>
      <c r="B29" s="274">
        <f>(IF(B11=2,(B2*2+0.11),0))*B9</f>
        <v>0</v>
      </c>
      <c r="C29" s="266"/>
      <c r="D29" s="266">
        <f t="shared" si="0"/>
        <v>0</v>
      </c>
    </row>
    <row r="30" spans="1:4" ht="15">
      <c r="A30" s="272" t="s">
        <v>308</v>
      </c>
      <c r="B30" s="274">
        <f>B4*2+B5*4</f>
        <v>4</v>
      </c>
      <c r="C30" s="7"/>
      <c r="D30" s="266">
        <f t="shared" si="0"/>
        <v>0</v>
      </c>
    </row>
    <row r="31" spans="1:4" ht="15">
      <c r="A31" s="272" t="s">
        <v>359</v>
      </c>
      <c r="B31" s="274">
        <f>B4+B5*2</f>
        <v>2</v>
      </c>
      <c r="C31" s="7"/>
      <c r="D31" s="266">
        <f t="shared" si="0"/>
        <v>0</v>
      </c>
    </row>
    <row r="32" spans="1:4" ht="15">
      <c r="A32" s="272" t="s">
        <v>360</v>
      </c>
      <c r="B32" s="274">
        <f>B4</f>
        <v>0</v>
      </c>
      <c r="C32" s="7"/>
      <c r="D32" s="266">
        <f t="shared" si="0"/>
        <v>0</v>
      </c>
    </row>
    <row r="33" spans="1:4" ht="15">
      <c r="A33" s="272" t="s">
        <v>312</v>
      </c>
      <c r="B33" s="274">
        <f>(IF(B12=1,B9,0))</f>
        <v>1</v>
      </c>
      <c r="C33" s="266"/>
      <c r="D33" s="266">
        <f t="shared" si="0"/>
        <v>0</v>
      </c>
    </row>
    <row r="34" spans="1:4">
      <c r="A34" s="272" t="s">
        <v>317</v>
      </c>
      <c r="B34" s="280">
        <f>B13</f>
        <v>1</v>
      </c>
      <c r="C34" s="266"/>
      <c r="D34" s="266">
        <f t="shared" si="0"/>
        <v>0</v>
      </c>
    </row>
    <row r="35" spans="1:4" ht="15">
      <c r="A35" s="273" t="s">
        <v>313</v>
      </c>
      <c r="B35" s="274"/>
      <c r="C35" s="266"/>
      <c r="D35" s="266">
        <f t="shared" si="0"/>
        <v>0</v>
      </c>
    </row>
    <row r="36" spans="1:4" ht="15">
      <c r="A36" s="272" t="s">
        <v>314</v>
      </c>
      <c r="B36" s="274">
        <f>B7</f>
        <v>0</v>
      </c>
      <c r="C36" s="266"/>
      <c r="D36" s="266">
        <f t="shared" si="0"/>
        <v>0</v>
      </c>
    </row>
    <row r="37" spans="1:4" ht="15">
      <c r="A37" s="272" t="s">
        <v>315</v>
      </c>
      <c r="B37" s="274">
        <f>B8</f>
        <v>0</v>
      </c>
      <c r="C37" s="266"/>
      <c r="D37" s="266">
        <f t="shared" si="0"/>
        <v>0</v>
      </c>
    </row>
    <row r="38" spans="1:4" ht="15">
      <c r="A38" s="272" t="s">
        <v>316</v>
      </c>
      <c r="B38" s="274">
        <f>B6</f>
        <v>1</v>
      </c>
      <c r="C38" s="266"/>
      <c r="D38" s="266">
        <f t="shared" si="0"/>
        <v>0</v>
      </c>
    </row>
    <row r="39" spans="1:4" ht="12.75">
      <c r="C39" s="2" t="s">
        <v>9</v>
      </c>
      <c r="D39">
        <f>SUM(D16:D38)</f>
        <v>0</v>
      </c>
    </row>
    <row r="46" spans="1:4">
      <c r="B46" s="270"/>
    </row>
  </sheetData>
  <mergeCells count="12">
    <mergeCell ref="A1:D1"/>
    <mergeCell ref="C2:D2"/>
    <mergeCell ref="C3:D3"/>
    <mergeCell ref="C4:D4"/>
    <mergeCell ref="C9:D9"/>
    <mergeCell ref="A14:D14"/>
    <mergeCell ref="C5:D5"/>
    <mergeCell ref="C6:D6"/>
    <mergeCell ref="C7:D7"/>
    <mergeCell ref="C8:D8"/>
    <mergeCell ref="C13:D13"/>
    <mergeCell ref="C10:D1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D50"/>
  <sheetViews>
    <sheetView topLeftCell="A16" workbookViewId="0">
      <selection activeCell="B33" sqref="B33"/>
    </sheetView>
  </sheetViews>
  <sheetFormatPr defaultRowHeight="11.25"/>
  <cols>
    <col min="1" max="1" width="51.5" customWidth="1"/>
    <col min="2" max="2" width="25.33203125" customWidth="1"/>
    <col min="3" max="3" width="13.1640625" customWidth="1"/>
    <col min="4" max="4" width="13.83203125" customWidth="1"/>
    <col min="13" max="13" width="46" customWidth="1"/>
    <col min="14" max="14" width="32.6640625" customWidth="1"/>
  </cols>
  <sheetData>
    <row r="1" spans="1:4" ht="64.5" customHeight="1" thickBot="1">
      <c r="A1" s="995" t="s">
        <v>384</v>
      </c>
      <c r="B1" s="985"/>
      <c r="C1" s="985"/>
      <c r="D1" s="985"/>
    </row>
    <row r="2" spans="1:4">
      <c r="A2" s="132" t="s">
        <v>10</v>
      </c>
      <c r="B2" s="294">
        <v>1</v>
      </c>
      <c r="C2" s="895" t="s">
        <v>161</v>
      </c>
      <c r="D2" s="896"/>
    </row>
    <row r="3" spans="1:4" ht="12" thickBot="1">
      <c r="A3" s="134" t="s">
        <v>1</v>
      </c>
      <c r="B3" s="297">
        <v>1</v>
      </c>
      <c r="C3" s="976" t="s">
        <v>30</v>
      </c>
      <c r="D3" s="977"/>
    </row>
    <row r="4" spans="1:4" ht="22.5">
      <c r="A4" s="271" t="s">
        <v>318</v>
      </c>
      <c r="B4" s="299">
        <v>0</v>
      </c>
      <c r="C4" s="996" t="s">
        <v>30</v>
      </c>
      <c r="D4" s="997"/>
    </row>
    <row r="5" spans="1:4">
      <c r="A5" s="271" t="s">
        <v>319</v>
      </c>
      <c r="B5" s="299">
        <v>1</v>
      </c>
      <c r="C5" s="980" t="s">
        <v>30</v>
      </c>
      <c r="D5" s="981"/>
    </row>
    <row r="6" spans="1:4">
      <c r="A6" s="271" t="s">
        <v>322</v>
      </c>
      <c r="B6" s="299">
        <v>1</v>
      </c>
      <c r="C6" s="980" t="s">
        <v>30</v>
      </c>
      <c r="D6" s="981"/>
    </row>
    <row r="7" spans="1:4">
      <c r="A7" s="271" t="s">
        <v>321</v>
      </c>
      <c r="B7" s="299">
        <v>0</v>
      </c>
      <c r="C7" s="980" t="s">
        <v>30</v>
      </c>
      <c r="D7" s="981"/>
    </row>
    <row r="8" spans="1:4">
      <c r="A8" s="271" t="s">
        <v>323</v>
      </c>
      <c r="B8" s="299">
        <v>0</v>
      </c>
      <c r="C8" s="980" t="s">
        <v>30</v>
      </c>
      <c r="D8" s="981"/>
    </row>
    <row r="9" spans="1:4">
      <c r="A9" s="133" t="s">
        <v>152</v>
      </c>
      <c r="B9" s="295">
        <f>B4+B5</f>
        <v>1</v>
      </c>
      <c r="C9" s="898" t="s">
        <v>29</v>
      </c>
      <c r="D9" s="899"/>
    </row>
    <row r="10" spans="1:4" ht="33" customHeight="1">
      <c r="A10" s="276" t="s">
        <v>381</v>
      </c>
      <c r="B10" s="277">
        <v>1</v>
      </c>
      <c r="C10" s="1040" t="s">
        <v>382</v>
      </c>
      <c r="D10" s="981"/>
    </row>
    <row r="11" spans="1:4" ht="35.25" customHeight="1">
      <c r="A11" s="276" t="s">
        <v>383</v>
      </c>
      <c r="B11" s="277">
        <v>3</v>
      </c>
      <c r="C11" s="1040" t="s">
        <v>385</v>
      </c>
      <c r="D11" s="981"/>
    </row>
    <row r="12" spans="1:4">
      <c r="A12" s="276" t="s">
        <v>331</v>
      </c>
      <c r="B12" s="277">
        <v>1</v>
      </c>
      <c r="C12" s="301" t="s">
        <v>333</v>
      </c>
      <c r="D12" s="296" t="s">
        <v>332</v>
      </c>
    </row>
    <row r="13" spans="1:4">
      <c r="A13" s="276" t="s">
        <v>369</v>
      </c>
      <c r="B13" s="295">
        <v>1</v>
      </c>
      <c r="C13" s="298" t="s">
        <v>327</v>
      </c>
      <c r="D13" s="296" t="s">
        <v>328</v>
      </c>
    </row>
    <row r="14" spans="1:4">
      <c r="A14" s="275" t="s">
        <v>326</v>
      </c>
      <c r="B14" s="295">
        <v>2</v>
      </c>
      <c r="C14" s="298" t="s">
        <v>327</v>
      </c>
      <c r="D14" s="296" t="s">
        <v>328</v>
      </c>
    </row>
    <row r="15" spans="1:4" ht="22.5">
      <c r="A15" s="308" t="s">
        <v>380</v>
      </c>
      <c r="B15" s="295">
        <v>1</v>
      </c>
      <c r="C15" s="298"/>
      <c r="D15" s="296"/>
    </row>
    <row r="16" spans="1:4" ht="12" thickBot="1">
      <c r="A16" s="190" t="s">
        <v>197</v>
      </c>
      <c r="B16" s="200">
        <v>1</v>
      </c>
      <c r="C16" s="1038" t="s">
        <v>30</v>
      </c>
      <c r="D16" s="1039"/>
    </row>
    <row r="17" spans="1:4" ht="12" thickBot="1">
      <c r="A17" s="994"/>
      <c r="B17" s="994"/>
      <c r="C17" s="994"/>
      <c r="D17" s="994"/>
    </row>
    <row r="18" spans="1:4" ht="12.75">
      <c r="A18" s="117" t="s">
        <v>5</v>
      </c>
      <c r="B18" s="118" t="s">
        <v>0</v>
      </c>
      <c r="C18" s="144" t="s">
        <v>4</v>
      </c>
      <c r="D18" s="300" t="s">
        <v>8</v>
      </c>
    </row>
    <row r="19" spans="1:4" ht="15">
      <c r="A19" s="307" t="s">
        <v>371</v>
      </c>
      <c r="B19" s="305">
        <f>IF(B13=2,(B2-0.14)*B9,(B2-0.1)*B9)</f>
        <v>0.9</v>
      </c>
      <c r="C19" s="6"/>
      <c r="D19" s="293">
        <f t="shared" ref="D19:D42" si="0">C19*B19</f>
        <v>0</v>
      </c>
    </row>
    <row r="20" spans="1:4" ht="15">
      <c r="A20" s="307" t="s">
        <v>366</v>
      </c>
      <c r="B20" s="306">
        <f>ROUNDUP(B2*10*B4,0)+EVEN(B2*10*B5)</f>
        <v>10</v>
      </c>
      <c r="C20" s="6"/>
      <c r="D20" s="293">
        <f t="shared" si="0"/>
        <v>0</v>
      </c>
    </row>
    <row r="21" spans="1:4" ht="15">
      <c r="A21" s="307" t="s">
        <v>367</v>
      </c>
      <c r="B21" s="306">
        <f>IF($B$13=2,$B$9,0)</f>
        <v>0</v>
      </c>
      <c r="C21" s="6"/>
      <c r="D21" s="293">
        <f t="shared" si="0"/>
        <v>0</v>
      </c>
    </row>
    <row r="22" spans="1:4" ht="15">
      <c r="A22" s="307" t="s">
        <v>368</v>
      </c>
      <c r="B22" s="306">
        <f>B9</f>
        <v>1</v>
      </c>
      <c r="C22" s="6"/>
      <c r="D22" s="293">
        <f t="shared" si="0"/>
        <v>0</v>
      </c>
    </row>
    <row r="23" spans="1:4" ht="15">
      <c r="A23" s="307" t="s">
        <v>373</v>
      </c>
      <c r="B23" s="306">
        <f>(IF($B$10=1,ROUNDUP($B$2/0.5,0),0))*$B$9</f>
        <v>2</v>
      </c>
      <c r="C23" s="6"/>
      <c r="D23" s="293">
        <f t="shared" si="0"/>
        <v>0</v>
      </c>
    </row>
    <row r="24" spans="1:4" ht="15">
      <c r="A24" s="307" t="s">
        <v>374</v>
      </c>
      <c r="B24" s="306">
        <f>(IF($B$10=2,ROUNDUP($B$2/0.5,0),0))*$B$9</f>
        <v>0</v>
      </c>
      <c r="C24" s="6"/>
      <c r="D24" s="293">
        <f t="shared" si="0"/>
        <v>0</v>
      </c>
    </row>
    <row r="25" spans="1:4" ht="15">
      <c r="A25" s="307" t="s">
        <v>375</v>
      </c>
      <c r="B25" s="306">
        <f>(IF($B$10=3,ROUNDUP($B$2/0.5,0),0))*$B$9</f>
        <v>0</v>
      </c>
      <c r="C25" s="6"/>
      <c r="D25" s="293">
        <f t="shared" si="0"/>
        <v>0</v>
      </c>
    </row>
    <row r="26" spans="1:4" ht="15">
      <c r="A26" s="307" t="s">
        <v>376</v>
      </c>
      <c r="B26" s="306">
        <f>IF($B$10=1,0,((IF($B$11=2,ROUNDUP($B$2/0.5,0),0))*$B$9))</f>
        <v>0</v>
      </c>
      <c r="C26" s="293"/>
      <c r="D26" s="293">
        <f t="shared" si="0"/>
        <v>0</v>
      </c>
    </row>
    <row r="27" spans="1:4" ht="15">
      <c r="A27" s="307" t="s">
        <v>377</v>
      </c>
      <c r="B27" s="306">
        <f>IF($B$10=1,0,((IF($B$11=3,ROUNDUP($B$2/0.5,0),0))*$B$9))</f>
        <v>0</v>
      </c>
      <c r="C27" s="293"/>
      <c r="D27" s="293">
        <f t="shared" si="0"/>
        <v>0</v>
      </c>
    </row>
    <row r="28" spans="1:4" ht="15">
      <c r="A28" s="272" t="s">
        <v>306</v>
      </c>
      <c r="B28" s="274">
        <f>B4*2+4*B5</f>
        <v>4</v>
      </c>
      <c r="C28" s="6"/>
      <c r="D28" s="293">
        <f t="shared" si="0"/>
        <v>0</v>
      </c>
    </row>
    <row r="29" spans="1:4" ht="15">
      <c r="A29" s="307" t="s">
        <v>370</v>
      </c>
      <c r="B29" s="306">
        <f>B4+2*B5</f>
        <v>2</v>
      </c>
      <c r="C29" s="6"/>
      <c r="D29" s="293">
        <f t="shared" si="0"/>
        <v>0</v>
      </c>
    </row>
    <row r="30" spans="1:4" ht="15">
      <c r="A30" s="307" t="s">
        <v>369</v>
      </c>
      <c r="B30" s="306">
        <f>IF($B$13=2,0,$B$9)</f>
        <v>1</v>
      </c>
      <c r="C30" s="6"/>
      <c r="D30" s="293">
        <f t="shared" si="0"/>
        <v>0</v>
      </c>
    </row>
    <row r="31" spans="1:4" ht="15">
      <c r="A31" s="304" t="s">
        <v>307</v>
      </c>
      <c r="B31" s="306">
        <f>IF($B$13=2,(IF($B$12=1,(($B$2-0.14)*2+0.21),0))*$B$9,(IF($B$12=1,(($B$2-0.1)*2+0.21),0))*$B$9)</f>
        <v>2.0100000000000002</v>
      </c>
      <c r="C31" s="7"/>
      <c r="D31" s="293">
        <f t="shared" si="0"/>
        <v>0</v>
      </c>
    </row>
    <row r="32" spans="1:4" ht="15">
      <c r="A32" s="304" t="s">
        <v>311</v>
      </c>
      <c r="B32" s="306">
        <f>IF($B$13=2,(IF($B$12=2,(($B$2-0.14)*2+0.21),0))*$B$9,(IF($B$12=2,(($B$2-0.1)*2+0.21),0))*$B$9)</f>
        <v>0</v>
      </c>
      <c r="C32" s="293"/>
      <c r="D32" s="293">
        <f t="shared" si="0"/>
        <v>0</v>
      </c>
    </row>
    <row r="33" spans="1:4" ht="15">
      <c r="A33" s="304" t="s">
        <v>379</v>
      </c>
      <c r="B33" s="306">
        <f>B5</f>
        <v>1</v>
      </c>
      <c r="C33" s="7"/>
      <c r="D33" s="293">
        <f t="shared" si="0"/>
        <v>0</v>
      </c>
    </row>
    <row r="34" spans="1:4" ht="15">
      <c r="A34" s="307" t="s">
        <v>391</v>
      </c>
      <c r="B34" s="306">
        <f>B9</f>
        <v>1</v>
      </c>
      <c r="C34" s="7"/>
      <c r="D34" s="293">
        <f t="shared" si="0"/>
        <v>0</v>
      </c>
    </row>
    <row r="35" spans="1:4" ht="15">
      <c r="A35" s="307" t="s">
        <v>372</v>
      </c>
      <c r="B35" s="306">
        <f>B15</f>
        <v>1</v>
      </c>
      <c r="C35" s="7"/>
      <c r="D35" s="293">
        <f t="shared" si="0"/>
        <v>0</v>
      </c>
    </row>
    <row r="36" spans="1:4" ht="15">
      <c r="A36" s="307" t="s">
        <v>378</v>
      </c>
      <c r="B36" s="306">
        <f>(IF(B14=1,B9,0))</f>
        <v>0</v>
      </c>
      <c r="C36" s="293"/>
      <c r="D36" s="293">
        <f t="shared" si="0"/>
        <v>0</v>
      </c>
    </row>
    <row r="37" spans="1:4" ht="15">
      <c r="A37" s="307" t="s">
        <v>387</v>
      </c>
      <c r="B37" s="306">
        <f>B7</f>
        <v>0</v>
      </c>
      <c r="C37" s="293"/>
      <c r="D37" s="293">
        <f t="shared" si="0"/>
        <v>0</v>
      </c>
    </row>
    <row r="38" spans="1:4" ht="15">
      <c r="A38" s="304" t="s">
        <v>388</v>
      </c>
      <c r="B38" s="306">
        <f>B16</f>
        <v>1</v>
      </c>
      <c r="C38" s="7"/>
      <c r="D38" s="293">
        <f t="shared" si="0"/>
        <v>0</v>
      </c>
    </row>
    <row r="39" spans="1:4" ht="15">
      <c r="A39" s="273" t="s">
        <v>313</v>
      </c>
      <c r="B39" s="274"/>
      <c r="C39" s="293"/>
      <c r="D39" s="293">
        <f t="shared" si="0"/>
        <v>0</v>
      </c>
    </row>
    <row r="40" spans="1:4" ht="15">
      <c r="A40" s="272" t="s">
        <v>389</v>
      </c>
      <c r="B40" s="274">
        <f>B7</f>
        <v>0</v>
      </c>
      <c r="C40" s="293"/>
      <c r="D40" s="293">
        <f t="shared" si="0"/>
        <v>0</v>
      </c>
    </row>
    <row r="41" spans="1:4" ht="15">
      <c r="A41" s="272" t="s">
        <v>386</v>
      </c>
      <c r="B41" s="274">
        <f>B8</f>
        <v>0</v>
      </c>
      <c r="C41" s="293"/>
      <c r="D41" s="293">
        <f t="shared" si="0"/>
        <v>0</v>
      </c>
    </row>
    <row r="42" spans="1:4" ht="15">
      <c r="A42" s="272" t="s">
        <v>390</v>
      </c>
      <c r="B42" s="274">
        <f>B6</f>
        <v>1</v>
      </c>
      <c r="C42" s="293"/>
      <c r="D42" s="293">
        <f t="shared" si="0"/>
        <v>0</v>
      </c>
    </row>
    <row r="43" spans="1:4" ht="12.75">
      <c r="C43" s="2" t="s">
        <v>9</v>
      </c>
      <c r="D43">
        <f>SUM(D19:D42)</f>
        <v>0</v>
      </c>
    </row>
    <row r="50" spans="2:2">
      <c r="B50" s="270"/>
    </row>
  </sheetData>
  <mergeCells count="13">
    <mergeCell ref="A17:D17"/>
    <mergeCell ref="C10:D10"/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1:D11"/>
    <mergeCell ref="C16:D1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D36"/>
  <sheetViews>
    <sheetView topLeftCell="A4" workbookViewId="0">
      <selection activeCell="B15" sqref="B15"/>
    </sheetView>
  </sheetViews>
  <sheetFormatPr defaultRowHeight="11.25"/>
  <cols>
    <col min="1" max="1" width="52" customWidth="1"/>
    <col min="2" max="2" width="35.6640625" customWidth="1"/>
    <col min="3" max="3" width="21.83203125" customWidth="1"/>
    <col min="4" max="4" width="20.6640625" customWidth="1"/>
  </cols>
  <sheetData>
    <row r="1" spans="1:4" ht="54" customHeight="1" thickBot="1">
      <c r="A1" s="995" t="s">
        <v>334</v>
      </c>
      <c r="B1" s="985"/>
      <c r="C1" s="985"/>
      <c r="D1" s="985"/>
    </row>
    <row r="2" spans="1:4">
      <c r="A2" s="132" t="s">
        <v>10</v>
      </c>
      <c r="B2" s="282">
        <v>2</v>
      </c>
      <c r="C2" s="895" t="s">
        <v>161</v>
      </c>
      <c r="D2" s="896"/>
    </row>
    <row r="3" spans="1:4" ht="12" thickBot="1">
      <c r="A3" s="134" t="s">
        <v>1</v>
      </c>
      <c r="B3" s="285">
        <v>1</v>
      </c>
      <c r="C3" s="976" t="s">
        <v>30</v>
      </c>
      <c r="D3" s="977"/>
    </row>
    <row r="4" spans="1:4">
      <c r="A4" s="133" t="s">
        <v>152</v>
      </c>
      <c r="B4" s="283">
        <v>3</v>
      </c>
      <c r="C4" s="898" t="s">
        <v>30</v>
      </c>
      <c r="D4" s="899"/>
    </row>
    <row r="5" spans="1:4" ht="26.25" customHeight="1">
      <c r="A5" s="276" t="s">
        <v>329</v>
      </c>
      <c r="B5" s="277">
        <v>1</v>
      </c>
      <c r="C5" s="1040" t="s">
        <v>335</v>
      </c>
      <c r="D5" s="981"/>
    </row>
    <row r="6" spans="1:4">
      <c r="A6" s="276" t="s">
        <v>336</v>
      </c>
      <c r="B6" s="277">
        <v>1</v>
      </c>
      <c r="C6" s="287" t="s">
        <v>337</v>
      </c>
      <c r="D6" s="284" t="s">
        <v>338</v>
      </c>
    </row>
    <row r="7" spans="1:4">
      <c r="A7" s="276" t="s">
        <v>361</v>
      </c>
      <c r="B7" s="277">
        <v>1</v>
      </c>
      <c r="C7" s="292" t="s">
        <v>362</v>
      </c>
      <c r="D7" s="290" t="s">
        <v>363</v>
      </c>
    </row>
    <row r="8" spans="1:4">
      <c r="A8" s="276" t="s">
        <v>157</v>
      </c>
      <c r="B8" s="277">
        <v>0</v>
      </c>
      <c r="C8" s="291" t="s">
        <v>327</v>
      </c>
      <c r="D8" s="290" t="s">
        <v>365</v>
      </c>
    </row>
    <row r="9" spans="1:4">
      <c r="A9" s="275" t="s">
        <v>353</v>
      </c>
      <c r="B9" s="283">
        <v>3</v>
      </c>
      <c r="C9" s="980" t="s">
        <v>30</v>
      </c>
      <c r="D9" s="943"/>
    </row>
    <row r="10" spans="1:4">
      <c r="A10" s="275" t="s">
        <v>355</v>
      </c>
      <c r="B10" s="283">
        <v>2</v>
      </c>
      <c r="C10" s="980" t="s">
        <v>30</v>
      </c>
      <c r="D10" s="943"/>
    </row>
    <row r="11" spans="1:4">
      <c r="A11" s="288" t="s">
        <v>352</v>
      </c>
      <c r="B11" s="283">
        <v>1</v>
      </c>
      <c r="C11" s="980" t="s">
        <v>30</v>
      </c>
      <c r="D11" s="943"/>
    </row>
    <row r="12" spans="1:4" ht="12" thickBot="1">
      <c r="A12" s="994"/>
      <c r="B12" s="994"/>
      <c r="C12" s="994"/>
      <c r="D12" s="994"/>
    </row>
    <row r="13" spans="1:4" ht="12.75">
      <c r="A13" s="117" t="s">
        <v>5</v>
      </c>
      <c r="B13" s="118" t="s">
        <v>0</v>
      </c>
      <c r="C13" s="144" t="s">
        <v>4</v>
      </c>
      <c r="D13" s="286" t="s">
        <v>8</v>
      </c>
    </row>
    <row r="14" spans="1:4" ht="15" customHeight="1">
      <c r="A14" s="281" t="s">
        <v>339</v>
      </c>
      <c r="B14" s="274">
        <f>(B2-0.004)*B4</f>
        <v>5.9879999999999995</v>
      </c>
      <c r="C14" s="6"/>
      <c r="D14" s="281">
        <f t="shared" ref="D14:D35" si="0">C14*B14</f>
        <v>0</v>
      </c>
    </row>
    <row r="15" spans="1:4" ht="15">
      <c r="A15" s="309" t="s">
        <v>392</v>
      </c>
      <c r="B15" s="274">
        <f>B4*2</f>
        <v>6</v>
      </c>
      <c r="C15" s="6"/>
      <c r="D15" s="281">
        <f t="shared" si="0"/>
        <v>0</v>
      </c>
    </row>
    <row r="16" spans="1:4" ht="15">
      <c r="A16" s="281" t="s">
        <v>340</v>
      </c>
      <c r="B16" s="274">
        <f>ROUNDUP(B2/0.4,0)*B4</f>
        <v>15</v>
      </c>
      <c r="C16" s="6"/>
      <c r="D16" s="281">
        <f t="shared" si="0"/>
        <v>0</v>
      </c>
    </row>
    <row r="17" spans="1:4" ht="15">
      <c r="A17" s="281" t="s">
        <v>341</v>
      </c>
      <c r="B17" s="274">
        <f>B16</f>
        <v>15</v>
      </c>
      <c r="C17" s="6"/>
      <c r="D17" s="281">
        <f t="shared" si="0"/>
        <v>0</v>
      </c>
    </row>
    <row r="18" spans="1:4" ht="15">
      <c r="A18" s="281" t="s">
        <v>342</v>
      </c>
      <c r="B18" s="274">
        <f>(IF(B5=1,ROUNDUP((B2-0.03)/0.5,0),0))*B4</f>
        <v>12</v>
      </c>
      <c r="C18" s="6"/>
      <c r="D18" s="281">
        <f t="shared" si="0"/>
        <v>0</v>
      </c>
    </row>
    <row r="19" spans="1:4" ht="15">
      <c r="A19" s="281" t="s">
        <v>343</v>
      </c>
      <c r="B19" s="274">
        <f>(IF(B5=2,ROUNDUP((B2-0.03)/0.5,0),0))*B4</f>
        <v>0</v>
      </c>
      <c r="C19" s="281"/>
      <c r="D19" s="281">
        <f t="shared" si="0"/>
        <v>0</v>
      </c>
    </row>
    <row r="20" spans="1:4" ht="15">
      <c r="A20" s="281" t="s">
        <v>344</v>
      </c>
      <c r="B20" s="274">
        <f>(IF(B6=1,ROUNDUP(B3/0.3,0),0))*(B2-0.01)*B4</f>
        <v>23.88</v>
      </c>
      <c r="C20" s="281"/>
      <c r="D20" s="281">
        <f t="shared" si="0"/>
        <v>0</v>
      </c>
    </row>
    <row r="21" spans="1:4" ht="15">
      <c r="A21" s="281" t="s">
        <v>345</v>
      </c>
      <c r="B21" s="274">
        <f>(IF(B6=2,ROUNDUP(B3/0.3,0),0))*(B2-0.01)*B4</f>
        <v>0</v>
      </c>
      <c r="C21" s="6"/>
      <c r="D21" s="281">
        <f t="shared" si="0"/>
        <v>0</v>
      </c>
    </row>
    <row r="22" spans="1:4" ht="15">
      <c r="A22" s="281" t="s">
        <v>346</v>
      </c>
      <c r="B22" s="274">
        <f>(B2-0.026)*B4</f>
        <v>5.9219999999999997</v>
      </c>
      <c r="C22" s="6"/>
      <c r="D22" s="281">
        <f t="shared" si="0"/>
        <v>0</v>
      </c>
    </row>
    <row r="23" spans="1:4" ht="15">
      <c r="A23" s="289" t="s">
        <v>364</v>
      </c>
      <c r="B23" s="274">
        <f>(IF(B7=2,(B2-0.01)*B4,0))</f>
        <v>0</v>
      </c>
      <c r="C23" s="6"/>
      <c r="D23" s="289">
        <f t="shared" si="0"/>
        <v>0</v>
      </c>
    </row>
    <row r="24" spans="1:4" ht="15">
      <c r="A24" s="289" t="s">
        <v>347</v>
      </c>
      <c r="B24" s="274">
        <f>(IF(B7=1,(B2-0.01)*B4,0))</f>
        <v>5.97</v>
      </c>
      <c r="C24" s="7"/>
      <c r="D24" s="289">
        <f t="shared" si="0"/>
        <v>0</v>
      </c>
    </row>
    <row r="25" spans="1:4" ht="15">
      <c r="A25" s="281" t="s">
        <v>348</v>
      </c>
      <c r="B25" s="274">
        <f>B4*2</f>
        <v>6</v>
      </c>
      <c r="C25" s="281"/>
      <c r="D25" s="281">
        <f t="shared" si="0"/>
        <v>0</v>
      </c>
    </row>
    <row r="26" spans="1:4" ht="15">
      <c r="A26" s="281" t="s">
        <v>349</v>
      </c>
      <c r="B26" s="274">
        <f>B16*(B3+0.2)</f>
        <v>18</v>
      </c>
      <c r="C26" s="281"/>
      <c r="D26" s="281">
        <f t="shared" si="0"/>
        <v>0</v>
      </c>
    </row>
    <row r="27" spans="1:4" ht="15">
      <c r="A27" s="281" t="s">
        <v>350</v>
      </c>
      <c r="B27" s="274">
        <f>2*B4</f>
        <v>6</v>
      </c>
      <c r="C27" s="7"/>
      <c r="D27" s="281">
        <f t="shared" si="0"/>
        <v>0</v>
      </c>
    </row>
    <row r="28" spans="1:4" ht="15">
      <c r="A28" s="281" t="s">
        <v>351</v>
      </c>
      <c r="B28" s="274">
        <f>2*B4</f>
        <v>6</v>
      </c>
      <c r="C28" s="281"/>
      <c r="D28" s="281">
        <f t="shared" si="0"/>
        <v>0</v>
      </c>
    </row>
    <row r="29" spans="1:4" ht="15">
      <c r="A29" s="281" t="s">
        <v>354</v>
      </c>
      <c r="B29" s="274">
        <f>B4</f>
        <v>3</v>
      </c>
      <c r="C29" s="281"/>
      <c r="D29" s="281">
        <f t="shared" si="0"/>
        <v>0</v>
      </c>
    </row>
    <row r="30" spans="1:4" ht="15">
      <c r="A30" s="281" t="s">
        <v>203</v>
      </c>
      <c r="B30" s="274">
        <f>B10</f>
        <v>2</v>
      </c>
      <c r="C30" s="281"/>
      <c r="D30" s="281">
        <f t="shared" si="0"/>
        <v>0</v>
      </c>
    </row>
    <row r="31" spans="1:4" ht="15">
      <c r="A31" s="281" t="s">
        <v>356</v>
      </c>
      <c r="B31" s="274">
        <f>B9</f>
        <v>3</v>
      </c>
      <c r="C31" s="281"/>
      <c r="D31" s="281">
        <f t="shared" si="0"/>
        <v>0</v>
      </c>
    </row>
    <row r="32" spans="1:4" ht="15">
      <c r="A32" s="302" t="s">
        <v>157</v>
      </c>
      <c r="B32" s="303">
        <f>IF(B8=1,(B2)*(B4),0)</f>
        <v>0</v>
      </c>
      <c r="C32" s="7"/>
      <c r="D32" s="289">
        <f t="shared" si="0"/>
        <v>0</v>
      </c>
    </row>
    <row r="33" spans="1:4" ht="15">
      <c r="A33" s="281" t="s">
        <v>357</v>
      </c>
      <c r="B33" s="274">
        <f>B11</f>
        <v>1</v>
      </c>
      <c r="C33" s="281"/>
      <c r="D33" s="281">
        <f t="shared" si="0"/>
        <v>0</v>
      </c>
    </row>
    <row r="34" spans="1:4" ht="15">
      <c r="A34" s="1041" t="s">
        <v>313</v>
      </c>
      <c r="B34" s="1042"/>
      <c r="C34" s="1042"/>
      <c r="D34" s="1043"/>
    </row>
    <row r="35" spans="1:4" ht="15">
      <c r="A35" s="272" t="s">
        <v>304</v>
      </c>
      <c r="B35" s="274">
        <f>B4</f>
        <v>3</v>
      </c>
      <c r="C35" s="281"/>
      <c r="D35" s="281">
        <f t="shared" si="0"/>
        <v>0</v>
      </c>
    </row>
    <row r="36" spans="1:4" ht="12.75">
      <c r="C36" s="2" t="s">
        <v>9</v>
      </c>
      <c r="D36">
        <f>SUM(D14:D35)</f>
        <v>0</v>
      </c>
    </row>
  </sheetData>
  <mergeCells count="10">
    <mergeCell ref="A34:D34"/>
    <mergeCell ref="A1:D1"/>
    <mergeCell ref="C2:D2"/>
    <mergeCell ref="C3:D3"/>
    <mergeCell ref="C4:D4"/>
    <mergeCell ref="C5:D5"/>
    <mergeCell ref="A12:D12"/>
    <mergeCell ref="C9:D9"/>
    <mergeCell ref="C10:D10"/>
    <mergeCell ref="C11:D1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P120"/>
  <sheetViews>
    <sheetView zoomScaleNormal="100" workbookViewId="0">
      <pane ySplit="29" topLeftCell="A75" activePane="bottomLeft" state="frozen"/>
      <selection pane="bottomLeft" activeCell="F83" sqref="F83"/>
    </sheetView>
  </sheetViews>
  <sheetFormatPr defaultRowHeight="11.25"/>
  <cols>
    <col min="2" max="2" width="65.6640625" customWidth="1"/>
    <col min="3" max="3" width="11.1640625" customWidth="1"/>
    <col min="4" max="4" width="14.83203125" customWidth="1"/>
    <col min="5" max="5" width="14.1640625" customWidth="1"/>
    <col min="6" max="6" width="29.1640625" customWidth="1"/>
    <col min="7" max="7" width="6.33203125" customWidth="1"/>
    <col min="8" max="8" width="53" customWidth="1"/>
    <col min="9" max="9" width="4.6640625" customWidth="1"/>
  </cols>
  <sheetData>
    <row r="1" spans="1:16" ht="54.75" customHeight="1" thickBot="1">
      <c r="A1" s="501"/>
      <c r="B1" s="1045"/>
      <c r="C1" s="1046"/>
      <c r="D1" s="1046"/>
      <c r="E1" s="1046"/>
      <c r="F1" s="502"/>
      <c r="G1" s="502"/>
      <c r="H1" s="501"/>
      <c r="I1" s="501"/>
      <c r="J1" s="501"/>
      <c r="K1" s="501"/>
    </row>
    <row r="2" spans="1:16" ht="12" customHeight="1" thickBot="1">
      <c r="A2" s="501"/>
      <c r="B2" s="503" t="s">
        <v>10</v>
      </c>
      <c r="C2" s="554">
        <v>0</v>
      </c>
      <c r="D2" s="1047" t="s">
        <v>675</v>
      </c>
      <c r="E2" s="1048"/>
      <c r="F2" s="1049"/>
      <c r="G2" s="504"/>
      <c r="H2" s="505" t="s">
        <v>565</v>
      </c>
      <c r="I2" s="506" t="s">
        <v>684</v>
      </c>
      <c r="J2" s="506" t="s">
        <v>4</v>
      </c>
      <c r="K2" s="507" t="s">
        <v>8</v>
      </c>
      <c r="L2" s="345"/>
      <c r="M2" s="345"/>
    </row>
    <row r="3" spans="1:16" ht="12" customHeight="1" thickBot="1">
      <c r="A3" s="501"/>
      <c r="B3" s="508" t="s">
        <v>1</v>
      </c>
      <c r="C3" s="555">
        <v>0</v>
      </c>
      <c r="D3" s="1050"/>
      <c r="E3" s="1051"/>
      <c r="F3" s="1052"/>
      <c r="G3" s="504"/>
      <c r="H3" s="667" t="s">
        <v>450</v>
      </c>
      <c r="I3" s="668" t="str">
        <f>IF(AND($C$10+$C$11=1,$C$12+$C$13+$C$14+$C$15=0,$C$16=2),"ДА","НЕТ")</f>
        <v>НЕТ</v>
      </c>
      <c r="J3" s="669"/>
      <c r="K3" s="670">
        <f>IF(I3="ДА",($C$4+$C$5+$C$6+$C$7+$C$8+$C$9)*J3,0)</f>
        <v>0</v>
      </c>
      <c r="L3" s="355"/>
    </row>
    <row r="4" spans="1:16" ht="11.25" customHeight="1">
      <c r="A4" s="501"/>
      <c r="B4" s="511" t="s">
        <v>600</v>
      </c>
      <c r="C4" s="556">
        <v>0</v>
      </c>
      <c r="D4" s="1048" t="s">
        <v>676</v>
      </c>
      <c r="E4" s="1048"/>
      <c r="F4" s="1049"/>
      <c r="G4" s="504"/>
      <c r="H4" s="512" t="s">
        <v>451</v>
      </c>
      <c r="I4" s="510" t="str">
        <f>IF(AND($C$10+$C$11=1,$C$12+$C$13+$C$14+$C$15=0,$C$16=2),"ДА","НЕТ")</f>
        <v>НЕТ</v>
      </c>
      <c r="J4" s="491"/>
      <c r="K4" s="414">
        <f t="shared" ref="K4:K21" si="0">IF(I4="ДА",($C$4+$C$5+$C$6+$C$7+$C$8+$C$9)*J4,0)</f>
        <v>0</v>
      </c>
      <c r="L4" s="355"/>
      <c r="M4" s="563"/>
    </row>
    <row r="5" spans="1:16" ht="11.25" customHeight="1">
      <c r="A5" s="501"/>
      <c r="B5" s="513" t="s">
        <v>470</v>
      </c>
      <c r="C5" s="557">
        <v>0</v>
      </c>
      <c r="D5" s="1053"/>
      <c r="E5" s="1053"/>
      <c r="F5" s="1054"/>
      <c r="G5" s="504"/>
      <c r="H5" s="512" t="s">
        <v>452</v>
      </c>
      <c r="I5" s="510" t="str">
        <f>IF(AND($C$10+$C$11=1,$C$12+$C$13+$C$14+$C$15=0,$C$16=2),"ДА","НЕТ")</f>
        <v>НЕТ</v>
      </c>
      <c r="J5" s="491"/>
      <c r="K5" s="414">
        <f t="shared" si="0"/>
        <v>0</v>
      </c>
      <c r="L5" s="355"/>
      <c r="M5" s="563"/>
    </row>
    <row r="6" spans="1:16" ht="12" customHeight="1">
      <c r="A6" s="501"/>
      <c r="B6" s="513" t="s">
        <v>471</v>
      </c>
      <c r="C6" s="557">
        <v>0</v>
      </c>
      <c r="D6" s="1053"/>
      <c r="E6" s="1053"/>
      <c r="F6" s="1054"/>
      <c r="G6" s="504"/>
      <c r="H6" s="514" t="s">
        <v>454</v>
      </c>
      <c r="I6" s="510" t="str">
        <f>IF(AND($C$10+$C$11=1,$C$12+$C$13+$C$14+$C$15=0,$C$16=3),"ДА","НЕТ")</f>
        <v>НЕТ</v>
      </c>
      <c r="J6" s="417"/>
      <c r="K6" s="414">
        <f t="shared" si="0"/>
        <v>0</v>
      </c>
      <c r="L6" s="355"/>
      <c r="M6" s="563"/>
    </row>
    <row r="7" spans="1:16" ht="11.25" customHeight="1">
      <c r="A7" s="501"/>
      <c r="B7" s="515" t="s">
        <v>626</v>
      </c>
      <c r="C7" s="558">
        <v>0</v>
      </c>
      <c r="D7" s="1053"/>
      <c r="E7" s="1053"/>
      <c r="F7" s="1054"/>
      <c r="G7" s="504"/>
      <c r="H7" s="512" t="s">
        <v>569</v>
      </c>
      <c r="I7" s="510" t="str">
        <f>IF(AND($C$12=1,$C$11+$C$13+$C$14+$C$15=0,$C$16=1),"ДА","НЕТ")</f>
        <v>НЕТ</v>
      </c>
      <c r="J7" s="491"/>
      <c r="K7" s="414">
        <f t="shared" si="0"/>
        <v>0</v>
      </c>
      <c r="L7" s="355"/>
      <c r="M7" s="563"/>
      <c r="N7" s="344"/>
      <c r="O7" s="344"/>
      <c r="P7" s="344"/>
    </row>
    <row r="8" spans="1:16" ht="11.25" customHeight="1">
      <c r="A8" s="501"/>
      <c r="B8" s="513" t="s">
        <v>627</v>
      </c>
      <c r="C8" s="557">
        <v>0</v>
      </c>
      <c r="D8" s="1053"/>
      <c r="E8" s="1053"/>
      <c r="F8" s="1054"/>
      <c r="G8" s="504"/>
      <c r="H8" s="514" t="s">
        <v>566</v>
      </c>
      <c r="I8" s="510" t="str">
        <f>IF(AND($C$12=1,$C$11+$C$13+$C$14+$C$15=0,$C$16=3),"ДА","НЕТ")</f>
        <v>НЕТ</v>
      </c>
      <c r="J8" s="417"/>
      <c r="K8" s="414">
        <f t="shared" si="0"/>
        <v>0</v>
      </c>
      <c r="L8" s="355"/>
      <c r="M8" s="563"/>
    </row>
    <row r="9" spans="1:16" ht="12" customHeight="1" thickBot="1">
      <c r="A9" s="501"/>
      <c r="B9" s="508" t="s">
        <v>628</v>
      </c>
      <c r="C9" s="559">
        <v>0</v>
      </c>
      <c r="D9" s="1051"/>
      <c r="E9" s="1051"/>
      <c r="F9" s="1052"/>
      <c r="G9" s="504"/>
      <c r="H9" s="514" t="s">
        <v>567</v>
      </c>
      <c r="I9" s="510" t="str">
        <f>IF(AND($C$12=1,$C$11+$C$13+$C$14+$C$15=0,$C$16=2),"ДА","НЕТ")</f>
        <v>НЕТ</v>
      </c>
      <c r="J9" s="417"/>
      <c r="K9" s="414">
        <f t="shared" si="0"/>
        <v>0</v>
      </c>
      <c r="L9" s="355"/>
      <c r="M9" s="563"/>
      <c r="N9" s="87"/>
      <c r="O9" s="87"/>
    </row>
    <row r="10" spans="1:16" ht="11.25" customHeight="1">
      <c r="A10" s="501"/>
      <c r="B10" s="503" t="s">
        <v>601</v>
      </c>
      <c r="C10" s="560">
        <v>0</v>
      </c>
      <c r="D10" s="516" t="s">
        <v>365</v>
      </c>
      <c r="E10" s="517" t="s">
        <v>327</v>
      </c>
      <c r="F10" s="1055" t="s">
        <v>676</v>
      </c>
      <c r="G10" s="504"/>
      <c r="H10" s="514" t="s">
        <v>568</v>
      </c>
      <c r="I10" s="510" t="str">
        <f>IF(AND($C$12=1,$C$11+$C$13+$C$14+$C$15=0,$C$16=2),"ДА","НЕТ")</f>
        <v>НЕТ</v>
      </c>
      <c r="J10" s="417"/>
      <c r="K10" s="414">
        <f t="shared" si="0"/>
        <v>0</v>
      </c>
      <c r="L10" s="355"/>
      <c r="M10" s="563"/>
      <c r="N10" s="87"/>
      <c r="O10" s="87"/>
    </row>
    <row r="11" spans="1:16" ht="11.25" customHeight="1">
      <c r="A11" s="501"/>
      <c r="B11" s="515" t="s">
        <v>570</v>
      </c>
      <c r="C11" s="558">
        <v>0</v>
      </c>
      <c r="D11" s="518" t="s">
        <v>365</v>
      </c>
      <c r="E11" s="519" t="s">
        <v>327</v>
      </c>
      <c r="F11" s="1056"/>
      <c r="G11" s="504"/>
      <c r="H11" s="514" t="s">
        <v>574</v>
      </c>
      <c r="I11" s="510" t="str">
        <f>IF(AND($C$12=1,$C$11+$C$13+$C$14+$C$15=0,$C$16=2),"ДА","НЕТ")</f>
        <v>НЕТ</v>
      </c>
      <c r="J11" s="417"/>
      <c r="K11" s="414">
        <f t="shared" si="0"/>
        <v>0</v>
      </c>
      <c r="L11" s="355"/>
      <c r="M11" s="563"/>
      <c r="N11" s="87"/>
      <c r="O11" s="87"/>
    </row>
    <row r="12" spans="1:16" ht="12" customHeight="1">
      <c r="A12" s="501"/>
      <c r="B12" s="513" t="s">
        <v>571</v>
      </c>
      <c r="C12" s="557">
        <v>0</v>
      </c>
      <c r="D12" s="520" t="s">
        <v>365</v>
      </c>
      <c r="E12" s="521" t="s">
        <v>327</v>
      </c>
      <c r="F12" s="1056"/>
      <c r="G12" s="522"/>
      <c r="H12" s="514" t="s">
        <v>753</v>
      </c>
      <c r="I12" s="510" t="str">
        <f>IF(AND($C$13=1,$C$10+$C$11+$C$12+$C$14+$C$15=0,$C$16=2),"ДА","НЕТ")</f>
        <v>НЕТ</v>
      </c>
      <c r="J12" s="417"/>
      <c r="K12" s="414">
        <f t="shared" si="0"/>
        <v>0</v>
      </c>
      <c r="L12" s="355"/>
      <c r="M12" s="563"/>
    </row>
    <row r="13" spans="1:16" ht="11.25" customHeight="1">
      <c r="A13" s="501"/>
      <c r="B13" s="515" t="s">
        <v>602</v>
      </c>
      <c r="C13" s="558">
        <v>0</v>
      </c>
      <c r="D13" s="518" t="s">
        <v>365</v>
      </c>
      <c r="E13" s="519" t="s">
        <v>327</v>
      </c>
      <c r="F13" s="1056"/>
      <c r="G13" s="504"/>
      <c r="H13" s="514" t="s">
        <v>598</v>
      </c>
      <c r="I13" s="510" t="str">
        <f>IF(AND($C$13=1,$C$10+$C$11+$C$12+$C$14+$C$15=0,$C$16=2),"ДА","НЕТ")</f>
        <v>НЕТ</v>
      </c>
      <c r="J13" s="417"/>
      <c r="K13" s="414">
        <f t="shared" si="0"/>
        <v>0</v>
      </c>
      <c r="L13" s="355"/>
      <c r="M13" s="563"/>
    </row>
    <row r="14" spans="1:16" ht="11.25" customHeight="1">
      <c r="A14" s="501"/>
      <c r="B14" s="515" t="s">
        <v>572</v>
      </c>
      <c r="C14" s="558">
        <v>0</v>
      </c>
      <c r="D14" s="520" t="s">
        <v>365</v>
      </c>
      <c r="E14" s="521" t="s">
        <v>327</v>
      </c>
      <c r="F14" s="1056"/>
      <c r="G14" s="504"/>
      <c r="H14" s="514" t="s">
        <v>599</v>
      </c>
      <c r="I14" s="510" t="str">
        <f>IF(AND($C$13=1,$C$10+$C$11+$C$12+$C$14+$C$15=0,$C$16=1),"ДА","НЕТ")</f>
        <v>НЕТ</v>
      </c>
      <c r="J14" s="417"/>
      <c r="K14" s="414">
        <f t="shared" si="0"/>
        <v>0</v>
      </c>
      <c r="L14" s="355"/>
      <c r="M14" s="563"/>
    </row>
    <row r="15" spans="1:16" ht="12" customHeight="1" thickBot="1">
      <c r="A15" s="501"/>
      <c r="B15" s="508" t="s">
        <v>573</v>
      </c>
      <c r="C15" s="559">
        <v>0</v>
      </c>
      <c r="D15" s="523" t="s">
        <v>365</v>
      </c>
      <c r="E15" s="524" t="s">
        <v>327</v>
      </c>
      <c r="F15" s="1057"/>
      <c r="G15" s="522"/>
      <c r="H15" s="512" t="s">
        <v>457</v>
      </c>
      <c r="I15" s="510" t="str">
        <f>IF(AND($C$14=1,$C$10+$C$11+$C$12+$C$13+$C$15=0,$C$16=2),"ДА","НЕТ")</f>
        <v>НЕТ</v>
      </c>
      <c r="J15" s="420"/>
      <c r="K15" s="414">
        <f t="shared" si="0"/>
        <v>0</v>
      </c>
      <c r="L15" s="355"/>
      <c r="M15" s="563"/>
    </row>
    <row r="16" spans="1:16" ht="12" customHeight="1" thickBot="1">
      <c r="A16" s="501"/>
      <c r="B16" s="525" t="s">
        <v>669</v>
      </c>
      <c r="C16" s="561">
        <v>0</v>
      </c>
      <c r="D16" s="526" t="s">
        <v>699</v>
      </c>
      <c r="E16" s="524" t="s">
        <v>700</v>
      </c>
      <c r="F16" s="812" t="s">
        <v>701</v>
      </c>
      <c r="G16" s="522"/>
      <c r="H16" s="509" t="s">
        <v>460</v>
      </c>
      <c r="I16" s="510" t="str">
        <f>IF(AND($C$14=1,$C$10+$C$11+$C$12+$C$13+$C$15=0,$C$16=1),"ДА","НЕТ")</f>
        <v>НЕТ</v>
      </c>
      <c r="J16" s="420"/>
      <c r="K16" s="414">
        <f t="shared" si="0"/>
        <v>0</v>
      </c>
      <c r="L16" s="355"/>
      <c r="M16" s="563"/>
    </row>
    <row r="17" spans="1:13" ht="12" customHeight="1" thickBot="1">
      <c r="A17" s="501"/>
      <c r="B17" s="525" t="s">
        <v>611</v>
      </c>
      <c r="C17" s="561">
        <v>0</v>
      </c>
      <c r="D17" s="529" t="s">
        <v>365</v>
      </c>
      <c r="E17" s="813" t="s">
        <v>327</v>
      </c>
      <c r="F17" s="566" t="s">
        <v>748</v>
      </c>
      <c r="G17" s="504"/>
      <c r="H17" s="509" t="s">
        <v>461</v>
      </c>
      <c r="I17" s="510" t="str">
        <f>IF(AND($C$14=1,$C$10+$C$11+$C$12+$C$13+$C$15=0,$C$16=3),"ДА","НЕТ")</f>
        <v>НЕТ</v>
      </c>
      <c r="J17" s="420"/>
      <c r="K17" s="414">
        <f t="shared" si="0"/>
        <v>0</v>
      </c>
      <c r="L17" s="355"/>
      <c r="M17" s="563"/>
    </row>
    <row r="18" spans="1:13" ht="12" customHeight="1" thickBot="1">
      <c r="A18" s="501"/>
      <c r="B18" s="536" t="s">
        <v>612</v>
      </c>
      <c r="C18" s="562">
        <v>0</v>
      </c>
      <c r="D18" s="523" t="s">
        <v>365</v>
      </c>
      <c r="E18" s="524" t="s">
        <v>327</v>
      </c>
      <c r="F18" s="564"/>
      <c r="G18" s="504"/>
      <c r="H18" s="509" t="s">
        <v>462</v>
      </c>
      <c r="I18" s="510" t="str">
        <f>IF(AND($C$15=1,$C$10+$C$11+$C$12+$C$13+$C$14=0,$C$16=1),"ДА","НЕТ")</f>
        <v>НЕТ</v>
      </c>
      <c r="J18" s="420"/>
      <c r="K18" s="414">
        <f t="shared" si="0"/>
        <v>0</v>
      </c>
      <c r="L18" s="355"/>
      <c r="M18" s="563"/>
    </row>
    <row r="19" spans="1:13" ht="12" customHeight="1" thickBot="1">
      <c r="A19" s="501"/>
      <c r="B19" s="525" t="s">
        <v>472</v>
      </c>
      <c r="C19" s="561">
        <v>0</v>
      </c>
      <c r="D19" s="528" t="s">
        <v>473</v>
      </c>
      <c r="E19" s="813" t="s">
        <v>474</v>
      </c>
      <c r="F19" s="565"/>
      <c r="G19" s="531"/>
      <c r="H19" s="512" t="s">
        <v>463</v>
      </c>
      <c r="I19" s="510" t="str">
        <f>IF(AND($C$15=1,$C$10+$C$11+$C$12+$C$13+$C$14=0,$C$16=1),"ДА","НЕТ")</f>
        <v>НЕТ</v>
      </c>
      <c r="J19" s="420"/>
      <c r="K19" s="414">
        <f t="shared" si="0"/>
        <v>0</v>
      </c>
      <c r="L19" s="355"/>
      <c r="M19" s="563"/>
    </row>
    <row r="20" spans="1:13" ht="12" customHeight="1" thickBot="1">
      <c r="A20" s="501"/>
      <c r="B20" s="525" t="s">
        <v>802</v>
      </c>
      <c r="C20" s="562">
        <v>0</v>
      </c>
      <c r="D20" s="523" t="s">
        <v>365</v>
      </c>
      <c r="E20" s="524" t="s">
        <v>327</v>
      </c>
      <c r="F20" s="564"/>
      <c r="G20" s="531"/>
      <c r="H20" s="509" t="s">
        <v>467</v>
      </c>
      <c r="I20" s="510" t="str">
        <f>IF(AND($C$15=1,$C$10+$C$11+$C$12+$C$13+$C$14=0,$C$16=2),"ДА","НЕТ")</f>
        <v>НЕТ</v>
      </c>
      <c r="J20" s="420"/>
      <c r="K20" s="414">
        <f t="shared" si="0"/>
        <v>0</v>
      </c>
      <c r="L20" s="355"/>
      <c r="M20" s="563"/>
    </row>
    <row r="21" spans="1:13" ht="11.25" customHeight="1" thickBot="1">
      <c r="A21" s="501"/>
      <c r="B21" s="525" t="s">
        <v>436</v>
      </c>
      <c r="C21" s="561">
        <v>0</v>
      </c>
      <c r="D21" s="529" t="s">
        <v>702</v>
      </c>
      <c r="E21" s="813" t="s">
        <v>703</v>
      </c>
      <c r="F21" s="532" t="s">
        <v>704</v>
      </c>
      <c r="G21" s="504"/>
      <c r="H21" s="533" t="s">
        <v>468</v>
      </c>
      <c r="I21" s="534" t="str">
        <f>IF(AND($C$15=1,$C$10+$C$11+$C$12+$C$13+$C$14=0,$C$16=2),"ДА","НЕТ")</f>
        <v>НЕТ</v>
      </c>
      <c r="J21" s="427"/>
      <c r="K21" s="571">
        <f t="shared" si="0"/>
        <v>0</v>
      </c>
      <c r="L21" s="355"/>
      <c r="M21" s="563"/>
    </row>
    <row r="22" spans="1:13" ht="11.25" customHeight="1">
      <c r="A22" s="501"/>
      <c r="B22" s="503" t="s">
        <v>439</v>
      </c>
      <c r="C22" s="560">
        <v>0</v>
      </c>
      <c r="D22" s="516" t="s">
        <v>365</v>
      </c>
      <c r="E22" s="517" t="s">
        <v>327</v>
      </c>
      <c r="F22" s="1055" t="s">
        <v>677</v>
      </c>
      <c r="G22" s="504"/>
      <c r="H22" s="535"/>
      <c r="I22" s="535"/>
      <c r="J22" s="535"/>
      <c r="K22" s="535"/>
      <c r="L22" s="355"/>
      <c r="M22" s="563"/>
    </row>
    <row r="23" spans="1:13" ht="11.25" customHeight="1">
      <c r="A23" s="501"/>
      <c r="B23" s="513" t="s">
        <v>440</v>
      </c>
      <c r="C23" s="557">
        <v>0</v>
      </c>
      <c r="D23" s="520" t="s">
        <v>365</v>
      </c>
      <c r="E23" s="521" t="s">
        <v>327</v>
      </c>
      <c r="F23" s="1056"/>
      <c r="G23" s="504"/>
      <c r="H23" s="535"/>
      <c r="I23" s="535"/>
      <c r="J23" s="535"/>
      <c r="K23" s="535"/>
      <c r="L23" s="355"/>
      <c r="M23" s="563"/>
    </row>
    <row r="24" spans="1:13" ht="12" customHeight="1">
      <c r="A24" s="501"/>
      <c r="B24" s="513" t="s">
        <v>545</v>
      </c>
      <c r="C24" s="557">
        <v>0</v>
      </c>
      <c r="D24" s="520" t="s">
        <v>365</v>
      </c>
      <c r="E24" s="521" t="s">
        <v>327</v>
      </c>
      <c r="F24" s="1056"/>
      <c r="G24" s="504"/>
      <c r="H24" s="537"/>
      <c r="I24" s="537"/>
      <c r="J24" s="535"/>
      <c r="K24" s="535"/>
      <c r="L24" s="339"/>
      <c r="M24" s="339"/>
    </row>
    <row r="25" spans="1:13" ht="12" customHeight="1" thickBot="1">
      <c r="A25" s="501"/>
      <c r="B25" s="610" t="s">
        <v>603</v>
      </c>
      <c r="C25" s="609">
        <v>0</v>
      </c>
      <c r="D25" s="722" t="s">
        <v>365</v>
      </c>
      <c r="E25" s="612" t="s">
        <v>327</v>
      </c>
      <c r="F25" s="1056"/>
      <c r="G25" s="811"/>
      <c r="H25" s="537"/>
      <c r="I25" s="537"/>
      <c r="J25" s="535"/>
      <c r="K25" s="535"/>
      <c r="L25" s="339"/>
      <c r="M25" s="339"/>
    </row>
    <row r="26" spans="1:13" ht="12" customHeight="1">
      <c r="A26" s="501"/>
      <c r="B26" s="503" t="s">
        <v>205</v>
      </c>
      <c r="C26" s="560">
        <v>0</v>
      </c>
      <c r="D26" s="1058" t="s">
        <v>766</v>
      </c>
      <c r="E26" s="1059"/>
      <c r="F26" s="1060"/>
      <c r="G26" s="811"/>
      <c r="H26" s="537"/>
      <c r="I26" s="537"/>
      <c r="J26" s="535"/>
      <c r="K26" s="535"/>
      <c r="L26" s="339"/>
      <c r="M26" s="339"/>
    </row>
    <row r="27" spans="1:13" ht="12" customHeight="1">
      <c r="A27" s="501"/>
      <c r="B27" s="513" t="s">
        <v>204</v>
      </c>
      <c r="C27" s="557">
        <v>0</v>
      </c>
      <c r="D27" s="1061" t="s">
        <v>767</v>
      </c>
      <c r="E27" s="1062"/>
      <c r="F27" s="1063"/>
      <c r="G27" s="811"/>
      <c r="H27" s="537"/>
      <c r="I27" s="537"/>
      <c r="J27" s="535"/>
      <c r="K27" s="535"/>
      <c r="L27" s="339"/>
      <c r="M27" s="339"/>
    </row>
    <row r="28" spans="1:13" ht="12" customHeight="1" thickBot="1">
      <c r="A28" s="501"/>
      <c r="B28" s="508" t="s">
        <v>197</v>
      </c>
      <c r="C28" s="559">
        <v>0</v>
      </c>
      <c r="D28" s="1064" t="s">
        <v>768</v>
      </c>
      <c r="E28" s="1065"/>
      <c r="F28" s="1066"/>
      <c r="G28" s="504"/>
      <c r="H28" s="539"/>
      <c r="I28" s="535"/>
      <c r="J28" s="535"/>
      <c r="K28" s="535"/>
    </row>
    <row r="29" spans="1:13" ht="12.75" customHeight="1" thickBot="1">
      <c r="A29" s="501"/>
      <c r="B29" s="1044"/>
      <c r="C29" s="1044"/>
      <c r="D29" s="1044"/>
      <c r="E29" s="1044"/>
      <c r="F29" s="504"/>
      <c r="G29" s="544"/>
      <c r="H29" s="539"/>
      <c r="I29" s="535"/>
      <c r="J29" s="535"/>
      <c r="K29" s="535"/>
    </row>
    <row r="30" spans="1:13" ht="12" customHeight="1">
      <c r="A30" s="501"/>
      <c r="B30" s="540" t="s">
        <v>5</v>
      </c>
      <c r="C30" s="541" t="s">
        <v>0</v>
      </c>
      <c r="D30" s="542" t="s">
        <v>4</v>
      </c>
      <c r="E30" s="543" t="s">
        <v>8</v>
      </c>
      <c r="F30" s="544"/>
      <c r="G30" s="440"/>
      <c r="H30" s="504"/>
      <c r="I30" s="504"/>
      <c r="J30" s="535"/>
      <c r="K30" s="535"/>
    </row>
    <row r="31" spans="1:13">
      <c r="A31" s="501"/>
      <c r="B31" s="545" t="s">
        <v>685</v>
      </c>
      <c r="C31" s="437">
        <f>IF(C17=0,C24*(C4+C5+C6+C7+C8+C9),0)</f>
        <v>0</v>
      </c>
      <c r="D31" s="492"/>
      <c r="E31" s="439">
        <f>C31*D31</f>
        <v>0</v>
      </c>
      <c r="F31" s="440"/>
      <c r="G31" s="440"/>
      <c r="H31" s="535"/>
      <c r="I31" s="535"/>
      <c r="J31" s="535"/>
      <c r="K31" s="535"/>
    </row>
    <row r="32" spans="1:13">
      <c r="A32" s="501"/>
      <c r="B32" s="545" t="s">
        <v>643</v>
      </c>
      <c r="C32" s="437">
        <f>IF(C17=0,C25*(C4+C5+C6+C7+C8+C9),0)</f>
        <v>0</v>
      </c>
      <c r="D32" s="492"/>
      <c r="E32" s="439">
        <f t="shared" ref="E32:E93" si="1">C32*D32</f>
        <v>0</v>
      </c>
      <c r="F32" s="440"/>
      <c r="G32" s="440"/>
      <c r="H32" s="546"/>
      <c r="I32" s="504"/>
      <c r="J32" s="535"/>
      <c r="K32" s="535"/>
    </row>
    <row r="33" spans="1:11">
      <c r="A33" s="501"/>
      <c r="B33" s="545" t="s">
        <v>686</v>
      </c>
      <c r="C33" s="437">
        <f>IF(C17=1,C24*C17*(C4+C5+C6+C7+C8+C9),0)</f>
        <v>0</v>
      </c>
      <c r="D33" s="492"/>
      <c r="E33" s="439">
        <f t="shared" si="1"/>
        <v>0</v>
      </c>
      <c r="F33" s="440"/>
      <c r="G33" s="440"/>
      <c r="H33" s="546"/>
      <c r="I33" s="504"/>
      <c r="J33" s="535"/>
      <c r="K33" s="535"/>
    </row>
    <row r="34" spans="1:11">
      <c r="A34" s="501"/>
      <c r="B34" s="545" t="s">
        <v>122</v>
      </c>
      <c r="C34" s="437">
        <f>IF(C17=0,(C22+C23)*2*(C4+C5+C6+C7+C8+C9),0)</f>
        <v>0</v>
      </c>
      <c r="D34" s="492"/>
      <c r="E34" s="439">
        <f t="shared" si="1"/>
        <v>0</v>
      </c>
      <c r="F34" s="440"/>
      <c r="G34" s="440"/>
      <c r="H34" s="546"/>
      <c r="I34" s="504"/>
      <c r="J34" s="535"/>
      <c r="K34" s="535"/>
    </row>
    <row r="35" spans="1:11">
      <c r="A35" s="501"/>
      <c r="B35" s="436" t="s">
        <v>803</v>
      </c>
      <c r="C35" s="437">
        <f>(IF(AND(C4+C5+C6=0,(C7+C8+C9)&gt;0,C20=1,C2&lt;=1),(C7+C8+C9)*2,(IF(AND(C4+C5+C6=0,(C7+C8+C9)&gt;0,C20=1,C2&lt;=1.5),(C7+C8+C9)*3,(IF(AND(C4+C5+C6=0,(C7+C8+C9)&gt;0,C20=1,C2&lt;=2),(C7+C8+C9)*4,(IF(AND(C4+C5+C6=0,(C7+C8+C9)&gt;0,C20=1,C2&lt;=2.5),(C7+C8+C9)*5,(IF(AND(C4+C5+C6=0,(C7+C8+C9)&gt;0,C20=1,C2&lt;=3),(C7+C8+C9)*6,(IF(AND(C4+C5+C6=0,(C7+C8+C9)&gt;0,C20=1,C2&lt;=3.5),(C7+C8+C9)*7,(IF(AND(C4+C5+C6=0,(C7+C8+C9)&gt;0,C20=1,C2&lt;=4),(C7+C8+C9)*8,(IF(AND(C4+C5+C6=0,(C7+C8+C9)&gt;0,C20=1,C2&lt;=4.5),(C7+C8+C9)*9,(IF(AND(C4+C5+C6=0,(C7+C8+C9)&gt;0,C20=1,C2&lt;=5),(C7+C8+C9)*10,0))))))))))))))))))</f>
        <v>0</v>
      </c>
      <c r="D35" s="492"/>
      <c r="E35" s="439">
        <f t="shared" si="1"/>
        <v>0</v>
      </c>
      <c r="F35" s="440"/>
      <c r="G35" s="440"/>
      <c r="H35" s="546"/>
      <c r="I35" s="868"/>
      <c r="J35" s="535"/>
      <c r="K35" s="535"/>
    </row>
    <row r="36" spans="1:11">
      <c r="A36" s="501"/>
      <c r="B36" s="547" t="s">
        <v>559</v>
      </c>
      <c r="C36" s="442">
        <f>(IF(AND(C4+C5+C6=0,(C7+C8+C9)&gt;0,C20=0,C2&lt;=1),(C7+C8+C9)*2,(IF(AND(C4+C5+C6=0,(C7+C8+C9)&gt;0,C20=0,C2&lt;=1.5),(C7+C8+C9)*3,(IF(AND(C4+C5+C6=0,(C7+C8+C9)&gt;0,C20=0,C2&lt;=2),(C7+C8+C9)*4,(IF(AND(C4+C5+C6=0,(C7+C8+C9)&gt;0,C20=0,C2&lt;=2.5),(C7+C8+C9)*5,(IF(AND(C4+C5+C6=0,(C7+C8+C9)&gt;0,C20=0,C2&lt;=3),(C7+C8+C9)*6,(IF(AND(C4+C5+C6=0,(C7+C8+C9)&gt;0,C20=0,C2&lt;=3.5),(C7+C8+C9)*7,(IF(AND(C4+C5+C6=0,(C7+C8+C9)&gt;0,C20=0,C2&lt;=4),(C7+C8+C9)*8,(IF(AND(C4+C5+C6=0,(C7+C8+C9)&gt;0,C20=0,C2&lt;=4.5),(C7+C8+C9)*9,(IF(AND(C4+C5+C6=0,(C7+C8+C9)&gt;0,C20=0,C2&lt;=5),(C7+C8+C9)*10,0))))))))))))))))))</f>
        <v>0</v>
      </c>
      <c r="D36" s="493"/>
      <c r="E36" s="439">
        <f t="shared" si="1"/>
        <v>0</v>
      </c>
      <c r="F36" s="440"/>
      <c r="G36" s="440"/>
      <c r="H36" s="546"/>
      <c r="I36" s="504"/>
      <c r="J36" s="535"/>
      <c r="K36" s="535"/>
    </row>
    <row r="37" spans="1:11">
      <c r="A37" s="501"/>
      <c r="B37" s="547" t="s">
        <v>526</v>
      </c>
      <c r="C37" s="442">
        <f>IF(AND(C21=1,C18=0),(C4+C5+C6+C7+C8+C9)*2,0)</f>
        <v>0</v>
      </c>
      <c r="D37" s="449"/>
      <c r="E37" s="439">
        <f t="shared" si="1"/>
        <v>0</v>
      </c>
      <c r="F37" s="440"/>
      <c r="G37" s="440"/>
      <c r="H37" s="546"/>
      <c r="I37" s="810"/>
      <c r="J37" s="535"/>
      <c r="K37" s="535"/>
    </row>
    <row r="38" spans="1:11">
      <c r="A38" s="501"/>
      <c r="B38" s="547" t="s">
        <v>526</v>
      </c>
      <c r="C38" s="442">
        <f>IF(AND(C21=1,C19=1,C18=1),(C4+C5+C6+C7+C8+C9),0)</f>
        <v>0</v>
      </c>
      <c r="D38" s="449"/>
      <c r="E38" s="439">
        <f>C38*D38</f>
        <v>0</v>
      </c>
      <c r="F38" s="440"/>
      <c r="G38" s="440"/>
      <c r="H38" s="546"/>
      <c r="I38" s="504"/>
      <c r="J38" s="535"/>
      <c r="K38" s="535"/>
    </row>
    <row r="39" spans="1:11">
      <c r="A39" s="501"/>
      <c r="B39" s="547" t="s">
        <v>629</v>
      </c>
      <c r="C39" s="442">
        <f>IF(AND(C21=1,C19=1,C18=1),(C5+C6+C7+C8+C9+C4),0)</f>
        <v>0</v>
      </c>
      <c r="D39" s="449"/>
      <c r="E39" s="439">
        <f t="shared" si="1"/>
        <v>0</v>
      </c>
      <c r="F39" s="440"/>
      <c r="G39" s="440"/>
      <c r="H39" s="546"/>
      <c r="I39" s="504"/>
      <c r="J39" s="535"/>
      <c r="K39" s="535"/>
    </row>
    <row r="40" spans="1:11">
      <c r="A40" s="501"/>
      <c r="B40" s="547" t="s">
        <v>528</v>
      </c>
      <c r="C40" s="442">
        <f>IF(AND(C19=1,C21=2,C18=1),(C4+C5+C6+C7+C8+C9),0)</f>
        <v>0</v>
      </c>
      <c r="D40" s="449"/>
      <c r="E40" s="439">
        <f t="shared" si="1"/>
        <v>0</v>
      </c>
      <c r="F40" s="440"/>
      <c r="G40" s="440"/>
      <c r="H40" s="546"/>
      <c r="I40" s="504"/>
      <c r="J40" s="535"/>
      <c r="K40" s="535"/>
    </row>
    <row r="41" spans="1:11">
      <c r="A41" s="501"/>
      <c r="B41" s="547" t="s">
        <v>630</v>
      </c>
      <c r="C41" s="442">
        <f>IF(C21=3,(C9+C4+C5+C6+C7+C8)*2,0)</f>
        <v>0</v>
      </c>
      <c r="D41" s="449"/>
      <c r="E41" s="439">
        <f t="shared" si="1"/>
        <v>0</v>
      </c>
      <c r="F41" s="440"/>
      <c r="G41" s="440"/>
      <c r="H41" s="546"/>
      <c r="I41" s="504"/>
      <c r="J41" s="535"/>
      <c r="K41" s="535"/>
    </row>
    <row r="42" spans="1:11">
      <c r="A42" s="501"/>
      <c r="B42" s="547" t="s">
        <v>527</v>
      </c>
      <c r="C42" s="442">
        <f>IF(AND(C21=2,C18=0),(C4+C5+C6+C7+C8+C9)*2,0)</f>
        <v>0</v>
      </c>
      <c r="D42" s="449"/>
      <c r="E42" s="439">
        <f t="shared" si="1"/>
        <v>0</v>
      </c>
      <c r="F42" s="440"/>
      <c r="G42" s="440"/>
      <c r="H42" s="546"/>
      <c r="I42" s="810"/>
      <c r="J42" s="535"/>
      <c r="K42" s="535"/>
    </row>
    <row r="43" spans="1:11">
      <c r="A43" s="501"/>
      <c r="B43" s="547" t="s">
        <v>527</v>
      </c>
      <c r="C43" s="442">
        <f>IF(AND(C21=2,C19=1,C18=1),(C5+C6+C7+C8+C9+C4),0)</f>
        <v>0</v>
      </c>
      <c r="D43" s="449"/>
      <c r="E43" s="439">
        <f>C43*D43</f>
        <v>0</v>
      </c>
      <c r="F43" s="440"/>
      <c r="G43" s="440"/>
      <c r="H43" s="546"/>
      <c r="I43" s="504"/>
      <c r="J43" s="535"/>
      <c r="K43" s="535"/>
    </row>
    <row r="44" spans="1:11">
      <c r="A44" s="501"/>
      <c r="B44" s="547" t="s">
        <v>687</v>
      </c>
      <c r="C44" s="442">
        <f>IF(AND(C21=1,C18=0),(C4+C5+C6)*2,0)</f>
        <v>0</v>
      </c>
      <c r="D44" s="449"/>
      <c r="E44" s="439">
        <f t="shared" si="1"/>
        <v>0</v>
      </c>
      <c r="F44" s="440"/>
      <c r="G44" s="440"/>
      <c r="H44" s="546"/>
      <c r="I44" s="504"/>
      <c r="J44" s="535"/>
      <c r="K44" s="535"/>
    </row>
    <row r="45" spans="1:11">
      <c r="A45" s="501"/>
      <c r="B45" s="547" t="s">
        <v>687</v>
      </c>
      <c r="C45" s="442">
        <f>IF(AND(C21=1,C18=1),C5+C6+C4,0)</f>
        <v>0</v>
      </c>
      <c r="D45" s="449"/>
      <c r="E45" s="439">
        <f t="shared" si="1"/>
        <v>0</v>
      </c>
      <c r="F45" s="440"/>
      <c r="G45" s="440"/>
      <c r="H45" s="535"/>
      <c r="I45" s="535"/>
      <c r="J45" s="535"/>
      <c r="K45" s="535"/>
    </row>
    <row r="46" spans="1:11">
      <c r="A46" s="501"/>
      <c r="B46" s="547" t="s">
        <v>688</v>
      </c>
      <c r="C46" s="442">
        <f>IF(AND(C21=1,C18=1),C6+C4+C5,0)</f>
        <v>0</v>
      </c>
      <c r="D46" s="449"/>
      <c r="E46" s="439">
        <f t="shared" si="1"/>
        <v>0</v>
      </c>
      <c r="F46" s="440"/>
      <c r="G46" s="440"/>
      <c r="H46" s="535"/>
      <c r="I46" s="535"/>
      <c r="J46" s="535"/>
      <c r="K46" s="535"/>
    </row>
    <row r="47" spans="1:11">
      <c r="A47" s="501"/>
      <c r="B47" s="545" t="s">
        <v>689</v>
      </c>
      <c r="C47" s="445">
        <f>IF(AND(C21=1,C18=0),(C7+C8+C9)*2,0)</f>
        <v>0</v>
      </c>
      <c r="D47" s="494"/>
      <c r="E47" s="439">
        <f t="shared" si="1"/>
        <v>0</v>
      </c>
      <c r="F47" s="440"/>
      <c r="G47" s="440"/>
      <c r="H47" s="535"/>
      <c r="I47" s="535"/>
      <c r="J47" s="535"/>
      <c r="K47" s="535"/>
    </row>
    <row r="48" spans="1:11">
      <c r="A48" s="501"/>
      <c r="B48" s="545" t="s">
        <v>690</v>
      </c>
      <c r="C48" s="445">
        <f>IF(AND(C21=1,C21=2),C8+C9+C7,0)</f>
        <v>0</v>
      </c>
      <c r="D48" s="494"/>
      <c r="E48" s="439">
        <f t="shared" si="1"/>
        <v>0</v>
      </c>
      <c r="F48" s="440"/>
      <c r="G48" s="440"/>
      <c r="H48" s="535"/>
      <c r="I48" s="535"/>
      <c r="J48" s="535"/>
      <c r="K48" s="535"/>
    </row>
    <row r="49" spans="1:11">
      <c r="A49" s="501"/>
      <c r="B49" s="545" t="s">
        <v>691</v>
      </c>
      <c r="C49" s="445">
        <f>IF(AND(C21=1,C18=1),C9+C7+C8,0)</f>
        <v>0</v>
      </c>
      <c r="D49" s="494"/>
      <c r="E49" s="439">
        <f t="shared" si="1"/>
        <v>0</v>
      </c>
      <c r="F49" s="440"/>
      <c r="G49" s="440"/>
      <c r="H49" s="535"/>
      <c r="I49" s="535"/>
      <c r="J49" s="535"/>
      <c r="K49" s="535"/>
    </row>
    <row r="50" spans="1:11">
      <c r="A50" s="501"/>
      <c r="B50" s="545" t="s">
        <v>691</v>
      </c>
      <c r="C50" s="445">
        <f>IF(AND(C21=2,C18=1),C4+C5+C6,0)</f>
        <v>0</v>
      </c>
      <c r="D50" s="494"/>
      <c r="E50" s="439">
        <f t="shared" si="1"/>
        <v>0</v>
      </c>
      <c r="F50" s="440"/>
      <c r="G50" s="440"/>
      <c r="H50" s="535"/>
      <c r="I50" s="535"/>
      <c r="J50" s="535"/>
      <c r="K50" s="535"/>
    </row>
    <row r="51" spans="1:11">
      <c r="A51" s="501"/>
      <c r="B51" s="545" t="s">
        <v>689</v>
      </c>
      <c r="C51" s="445">
        <f>IF(AND(C21=2,C18=1),C4+C5+C6,0)</f>
        <v>0</v>
      </c>
      <c r="D51" s="494"/>
      <c r="E51" s="439">
        <f t="shared" si="1"/>
        <v>0</v>
      </c>
      <c r="F51" s="440"/>
      <c r="G51" s="440"/>
      <c r="H51" s="535"/>
      <c r="I51" s="535"/>
      <c r="J51" s="535"/>
      <c r="K51" s="535"/>
    </row>
    <row r="52" spans="1:11">
      <c r="A52" s="501"/>
      <c r="B52" s="545" t="s">
        <v>689</v>
      </c>
      <c r="C52" s="445">
        <f>IF(AND(C21=2,C18=0),(C4+C5+C6)*2,0)</f>
        <v>0</v>
      </c>
      <c r="D52" s="494"/>
      <c r="E52" s="439">
        <f t="shared" si="1"/>
        <v>0</v>
      </c>
      <c r="F52" s="440"/>
      <c r="G52" s="440"/>
      <c r="H52" s="535"/>
      <c r="I52" s="535"/>
      <c r="J52" s="535"/>
      <c r="K52" s="535"/>
    </row>
    <row r="53" spans="1:11">
      <c r="A53" s="501"/>
      <c r="B53" s="547" t="s">
        <v>692</v>
      </c>
      <c r="C53" s="445">
        <f>IF(AND(C21=2,C18=1),(C7+C8+C9),0)</f>
        <v>0</v>
      </c>
      <c r="D53" s="494"/>
      <c r="E53" s="439">
        <f t="shared" si="1"/>
        <v>0</v>
      </c>
      <c r="F53" s="440"/>
      <c r="G53" s="440"/>
      <c r="H53" s="535"/>
      <c r="I53" s="535"/>
      <c r="J53" s="535"/>
      <c r="K53" s="535"/>
    </row>
    <row r="54" spans="1:11">
      <c r="A54" s="501"/>
      <c r="B54" s="547" t="s">
        <v>693</v>
      </c>
      <c r="C54" s="445">
        <f>IF(AND(C21=2,C18=1),(C7+C8+C9),0)</f>
        <v>0</v>
      </c>
      <c r="D54" s="494"/>
      <c r="E54" s="439">
        <f t="shared" si="1"/>
        <v>0</v>
      </c>
      <c r="F54" s="440"/>
      <c r="G54" s="440"/>
      <c r="H54" s="535"/>
      <c r="I54" s="535"/>
      <c r="J54" s="535"/>
      <c r="K54" s="535"/>
    </row>
    <row r="55" spans="1:11">
      <c r="A55" s="501"/>
      <c r="B55" s="547" t="s">
        <v>694</v>
      </c>
      <c r="C55" s="442">
        <f>IF(AND(C21=2,C18=0),(C7+C8+C9)*2,0)</f>
        <v>0</v>
      </c>
      <c r="D55" s="449"/>
      <c r="E55" s="439">
        <f t="shared" si="1"/>
        <v>0</v>
      </c>
      <c r="F55" s="440"/>
      <c r="G55" s="440"/>
      <c r="H55" s="535"/>
      <c r="I55" s="535"/>
      <c r="J55" s="535"/>
      <c r="K55" s="535"/>
    </row>
    <row r="56" spans="1:11">
      <c r="A56" s="501"/>
      <c r="B56" s="547" t="s">
        <v>695</v>
      </c>
      <c r="C56" s="442">
        <f>IF(AND(C21=3,C18=0),(C4+C5+C6)*2,0)</f>
        <v>0</v>
      </c>
      <c r="D56" s="449"/>
      <c r="E56" s="439">
        <f t="shared" si="1"/>
        <v>0</v>
      </c>
      <c r="F56" s="440"/>
      <c r="G56" s="440"/>
      <c r="H56" s="535"/>
      <c r="I56" s="535"/>
      <c r="J56" s="535"/>
      <c r="K56" s="535"/>
    </row>
    <row r="57" spans="1:11">
      <c r="A57" s="501"/>
      <c r="B57" s="545" t="s">
        <v>553</v>
      </c>
      <c r="C57" s="437">
        <f>(C5+C8+C25)*C2</f>
        <v>0</v>
      </c>
      <c r="D57" s="492"/>
      <c r="E57" s="439">
        <f t="shared" si="1"/>
        <v>0</v>
      </c>
      <c r="F57" s="440"/>
      <c r="G57" s="440"/>
      <c r="H57" s="535"/>
      <c r="I57" s="535"/>
      <c r="J57" s="535"/>
      <c r="K57" s="535"/>
    </row>
    <row r="58" spans="1:11">
      <c r="A58" s="501"/>
      <c r="B58" s="547" t="s">
        <v>441</v>
      </c>
      <c r="C58" s="442">
        <f>C23*2*C2</f>
        <v>0</v>
      </c>
      <c r="D58" s="449"/>
      <c r="E58" s="439">
        <f t="shared" si="1"/>
        <v>0</v>
      </c>
      <c r="F58" s="440"/>
      <c r="G58" s="440"/>
      <c r="H58" s="535"/>
      <c r="I58" s="535"/>
      <c r="J58" s="535"/>
      <c r="K58" s="535"/>
    </row>
    <row r="59" spans="1:11">
      <c r="A59" s="501"/>
      <c r="B59" s="547" t="s">
        <v>124</v>
      </c>
      <c r="C59" s="442">
        <f>C2*(C22+C24)</f>
        <v>0</v>
      </c>
      <c r="D59" s="449"/>
      <c r="E59" s="439">
        <f t="shared" si="1"/>
        <v>0</v>
      </c>
      <c r="F59" s="440"/>
      <c r="G59" s="440"/>
      <c r="H59" s="535"/>
      <c r="I59" s="535"/>
      <c r="J59" s="535"/>
      <c r="K59" s="535"/>
    </row>
    <row r="60" spans="1:11">
      <c r="A60" s="501"/>
      <c r="B60" s="547" t="s">
        <v>560</v>
      </c>
      <c r="C60" s="442">
        <f>(C4+C6+C7+C9)*C2</f>
        <v>0</v>
      </c>
      <c r="D60" s="449"/>
      <c r="E60" s="439">
        <f t="shared" si="1"/>
        <v>0</v>
      </c>
      <c r="F60" s="440"/>
      <c r="G60" s="440"/>
      <c r="H60" s="535"/>
      <c r="I60" s="535"/>
      <c r="J60" s="535"/>
      <c r="K60" s="535"/>
    </row>
    <row r="61" spans="1:11">
      <c r="A61" s="501"/>
      <c r="B61" s="547" t="s">
        <v>696</v>
      </c>
      <c r="C61" s="442">
        <f>C24*C2*(C4+C5+C6+C7+C8+C9)</f>
        <v>0</v>
      </c>
      <c r="D61" s="449"/>
      <c r="E61" s="439">
        <f t="shared" si="1"/>
        <v>0</v>
      </c>
      <c r="F61" s="440"/>
      <c r="G61" s="440"/>
      <c r="H61" s="535"/>
      <c r="I61" s="535"/>
      <c r="J61" s="535"/>
      <c r="K61" s="535"/>
    </row>
    <row r="62" spans="1:11">
      <c r="A62" s="501"/>
      <c r="B62" s="547" t="s">
        <v>546</v>
      </c>
      <c r="C62" s="442">
        <f>C25*C2*(C4+C5+C6+C7+C8+C9)</f>
        <v>0</v>
      </c>
      <c r="D62" s="449"/>
      <c r="E62" s="439">
        <f t="shared" si="1"/>
        <v>0</v>
      </c>
      <c r="F62" s="440"/>
      <c r="G62" s="440"/>
      <c r="H62" s="535"/>
      <c r="I62" s="535"/>
      <c r="J62" s="535"/>
      <c r="K62" s="535"/>
    </row>
    <row r="63" spans="1:11">
      <c r="A63" s="501"/>
      <c r="B63" s="547" t="s">
        <v>442</v>
      </c>
      <c r="C63" s="442">
        <f>C22*C2*(C4+C5+C6+C7+C8+C9)</f>
        <v>0</v>
      </c>
      <c r="D63" s="449"/>
      <c r="E63" s="439">
        <f t="shared" si="1"/>
        <v>0</v>
      </c>
      <c r="F63" s="440"/>
      <c r="G63" s="440"/>
      <c r="H63" s="535"/>
      <c r="I63" s="535"/>
      <c r="J63" s="535"/>
      <c r="K63" s="535"/>
    </row>
    <row r="64" spans="1:11">
      <c r="A64" s="501"/>
      <c r="B64" s="547" t="s">
        <v>443</v>
      </c>
      <c r="C64" s="442">
        <f>C23*C2*(C4+C5+C6+C7+C8+C9)</f>
        <v>0</v>
      </c>
      <c r="D64" s="449"/>
      <c r="E64" s="439">
        <f t="shared" si="1"/>
        <v>0</v>
      </c>
      <c r="F64" s="440"/>
      <c r="G64" s="440"/>
      <c r="H64" s="535"/>
      <c r="I64" s="535"/>
      <c r="J64" s="535"/>
      <c r="K64" s="535"/>
    </row>
    <row r="65" spans="1:11">
      <c r="A65" s="501"/>
      <c r="B65" s="545" t="s">
        <v>529</v>
      </c>
      <c r="C65" s="437">
        <f>C2*(C6+C9)</f>
        <v>0</v>
      </c>
      <c r="D65" s="492"/>
      <c r="E65" s="439">
        <f t="shared" si="1"/>
        <v>0</v>
      </c>
      <c r="F65" s="440"/>
      <c r="G65" s="440"/>
      <c r="H65" s="535"/>
      <c r="I65" s="535"/>
      <c r="J65" s="535"/>
      <c r="K65" s="535"/>
    </row>
    <row r="66" spans="1:11">
      <c r="A66" s="501"/>
      <c r="B66" s="545" t="s">
        <v>605</v>
      </c>
      <c r="C66" s="437">
        <f>C2*(C7+C4)</f>
        <v>0</v>
      </c>
      <c r="D66" s="492"/>
      <c r="E66" s="439">
        <f t="shared" si="1"/>
        <v>0</v>
      </c>
      <c r="F66" s="440"/>
      <c r="G66" s="440"/>
      <c r="H66" s="535"/>
      <c r="I66" s="535"/>
      <c r="J66" s="535"/>
      <c r="K66" s="535"/>
    </row>
    <row r="67" spans="1:11">
      <c r="A67" s="501"/>
      <c r="B67" s="545" t="s">
        <v>530</v>
      </c>
      <c r="C67" s="437">
        <f>C2*(C5+C8)</f>
        <v>0</v>
      </c>
      <c r="D67" s="492"/>
      <c r="E67" s="439">
        <f t="shared" si="1"/>
        <v>0</v>
      </c>
      <c r="F67" s="440"/>
      <c r="G67" s="440"/>
      <c r="H67" s="535"/>
      <c r="I67" s="535"/>
      <c r="J67" s="535"/>
      <c r="K67" s="535"/>
    </row>
    <row r="68" spans="1:11">
      <c r="A68" s="501"/>
      <c r="B68" s="545" t="s">
        <v>697</v>
      </c>
      <c r="C68" s="437">
        <f>(C7+C8+C9)*C2</f>
        <v>0</v>
      </c>
      <c r="D68" s="492"/>
      <c r="E68" s="439">
        <f t="shared" si="1"/>
        <v>0</v>
      </c>
      <c r="F68" s="440"/>
      <c r="G68" s="440"/>
      <c r="H68" s="535"/>
      <c r="I68" s="535"/>
      <c r="J68" s="535"/>
      <c r="K68" s="535"/>
    </row>
    <row r="69" spans="1:11">
      <c r="A69" s="501"/>
      <c r="B69" s="547" t="s">
        <v>698</v>
      </c>
      <c r="C69" s="442">
        <f>IF(C21=2,C18,0)</f>
        <v>0</v>
      </c>
      <c r="D69" s="449"/>
      <c r="E69" s="439">
        <f t="shared" si="1"/>
        <v>0</v>
      </c>
      <c r="F69" s="440"/>
      <c r="G69" s="440"/>
      <c r="H69" s="535"/>
      <c r="I69" s="535"/>
      <c r="J69" s="535"/>
      <c r="K69" s="535"/>
    </row>
    <row r="70" spans="1:11">
      <c r="A70" s="501"/>
      <c r="B70" s="547" t="s">
        <v>550</v>
      </c>
      <c r="C70" s="442">
        <f>C6+C9</f>
        <v>0</v>
      </c>
      <c r="D70" s="449"/>
      <c r="E70" s="439">
        <f t="shared" si="1"/>
        <v>0</v>
      </c>
      <c r="F70" s="440"/>
      <c r="G70" s="440"/>
      <c r="H70" s="535"/>
      <c r="I70" s="535"/>
      <c r="J70" s="535"/>
      <c r="K70" s="535"/>
    </row>
    <row r="71" spans="1:11">
      <c r="A71" s="501"/>
      <c r="B71" s="547" t="s">
        <v>445</v>
      </c>
      <c r="C71" s="442">
        <f>C5+C8</f>
        <v>0</v>
      </c>
      <c r="D71" s="449"/>
      <c r="E71" s="439">
        <f t="shared" si="1"/>
        <v>0</v>
      </c>
      <c r="F71" s="440"/>
      <c r="G71" s="440"/>
      <c r="H71" s="535"/>
      <c r="I71" s="535"/>
      <c r="J71" s="535"/>
      <c r="K71" s="535"/>
    </row>
    <row r="72" spans="1:11">
      <c r="A72" s="501"/>
      <c r="B72" s="547" t="s">
        <v>446</v>
      </c>
      <c r="C72" s="442">
        <f>(C7+C8+C9)*4</f>
        <v>0</v>
      </c>
      <c r="D72" s="449"/>
      <c r="E72" s="439">
        <f t="shared" si="1"/>
        <v>0</v>
      </c>
      <c r="F72" s="440"/>
      <c r="G72" s="440"/>
      <c r="H72" s="535"/>
      <c r="I72" s="535"/>
      <c r="J72" s="535"/>
      <c r="K72" s="535"/>
    </row>
    <row r="73" spans="1:11">
      <c r="A73" s="501"/>
      <c r="B73" s="547" t="s">
        <v>447</v>
      </c>
      <c r="C73" s="442">
        <f>C17*((C3*2)+C2+0.3)</f>
        <v>0</v>
      </c>
      <c r="D73" s="449"/>
      <c r="E73" s="439">
        <f t="shared" si="1"/>
        <v>0</v>
      </c>
      <c r="F73" s="440"/>
      <c r="G73" s="440"/>
      <c r="H73" s="535"/>
      <c r="I73" s="535"/>
      <c r="J73" s="535"/>
      <c r="K73" s="535"/>
    </row>
    <row r="74" spans="1:11">
      <c r="A74" s="501"/>
      <c r="B74" s="547" t="s">
        <v>606</v>
      </c>
      <c r="C74" s="442">
        <f>IF(C19=0,C17*2,0)</f>
        <v>0</v>
      </c>
      <c r="D74" s="449"/>
      <c r="E74" s="439">
        <f t="shared" si="1"/>
        <v>0</v>
      </c>
      <c r="F74" s="440"/>
      <c r="G74" s="440"/>
      <c r="H74" s="535"/>
      <c r="I74" s="535"/>
      <c r="J74" s="535"/>
      <c r="K74" s="535"/>
    </row>
    <row r="75" spans="1:11">
      <c r="A75" s="501"/>
      <c r="B75" s="547" t="s">
        <v>607</v>
      </c>
      <c r="C75" s="442">
        <f>IF(C19=1,C17*2,0)</f>
        <v>0</v>
      </c>
      <c r="D75" s="449"/>
      <c r="E75" s="439">
        <f t="shared" si="1"/>
        <v>0</v>
      </c>
      <c r="F75" s="440"/>
      <c r="G75" s="440"/>
      <c r="H75" s="535"/>
      <c r="I75" s="535"/>
      <c r="J75" s="535"/>
      <c r="K75" s="535"/>
    </row>
    <row r="76" spans="1:11">
      <c r="A76" s="501"/>
      <c r="B76" s="547" t="s">
        <v>449</v>
      </c>
      <c r="C76" s="442">
        <f>C17*2</f>
        <v>0</v>
      </c>
      <c r="D76" s="449"/>
      <c r="E76" s="439">
        <f t="shared" si="1"/>
        <v>0</v>
      </c>
      <c r="F76" s="440"/>
      <c r="G76" s="440"/>
      <c r="H76" s="535"/>
      <c r="I76" s="535"/>
      <c r="J76" s="535"/>
      <c r="K76" s="535"/>
    </row>
    <row r="77" spans="1:11">
      <c r="A77" s="501"/>
      <c r="B77" s="547" t="s">
        <v>531</v>
      </c>
      <c r="C77" s="442">
        <f>C17*2</f>
        <v>0</v>
      </c>
      <c r="D77" s="449"/>
      <c r="E77" s="439">
        <f t="shared" si="1"/>
        <v>0</v>
      </c>
      <c r="F77" s="440"/>
      <c r="G77" s="440"/>
      <c r="H77" s="535"/>
      <c r="I77" s="535"/>
      <c r="J77" s="535"/>
      <c r="K77" s="535"/>
    </row>
    <row r="78" spans="1:11">
      <c r="A78" s="501"/>
      <c r="B78" s="547" t="s">
        <v>532</v>
      </c>
      <c r="C78" s="442">
        <f>C17*2</f>
        <v>0</v>
      </c>
      <c r="D78" s="449"/>
      <c r="E78" s="439">
        <f t="shared" si="1"/>
        <v>0</v>
      </c>
      <c r="F78" s="440"/>
      <c r="G78" s="440"/>
      <c r="H78" s="535"/>
      <c r="I78" s="535"/>
      <c r="J78" s="535"/>
      <c r="K78" s="535"/>
    </row>
    <row r="79" spans="1:11">
      <c r="A79" s="501"/>
      <c r="B79" s="547" t="s">
        <v>558</v>
      </c>
      <c r="C79" s="442">
        <f>IF(C18=0,C4+C5+C6+C7+C8+C9,0)</f>
        <v>0</v>
      </c>
      <c r="D79" s="449"/>
      <c r="E79" s="439">
        <f t="shared" si="1"/>
        <v>0</v>
      </c>
      <c r="F79" s="440"/>
      <c r="G79" s="440"/>
      <c r="H79" s="535"/>
      <c r="I79" s="535"/>
      <c r="J79" s="535"/>
      <c r="K79" s="535"/>
    </row>
    <row r="80" spans="1:11">
      <c r="A80" s="501"/>
      <c r="B80" s="547" t="s">
        <v>414</v>
      </c>
      <c r="C80" s="442">
        <f>C17</f>
        <v>0</v>
      </c>
      <c r="D80" s="449"/>
      <c r="E80" s="439">
        <f t="shared" si="1"/>
        <v>0</v>
      </c>
      <c r="F80" s="440"/>
      <c r="G80" s="440"/>
      <c r="H80" s="535"/>
      <c r="I80" s="535"/>
      <c r="J80" s="535"/>
      <c r="K80" s="535"/>
    </row>
    <row r="81" spans="1:11">
      <c r="A81" s="501"/>
      <c r="B81" s="548" t="s">
        <v>533</v>
      </c>
      <c r="C81" s="495">
        <f>C4+C5+C7+C8</f>
        <v>0</v>
      </c>
      <c r="D81" s="449"/>
      <c r="E81" s="496">
        <f t="shared" si="1"/>
        <v>0</v>
      </c>
      <c r="F81" s="440"/>
      <c r="G81" s="440"/>
      <c r="H81" s="549"/>
      <c r="I81" s="549"/>
      <c r="J81" s="535"/>
      <c r="K81" s="535"/>
    </row>
    <row r="82" spans="1:11">
      <c r="A82" s="501"/>
      <c r="B82" s="548" t="s">
        <v>453</v>
      </c>
      <c r="C82" s="495">
        <f>(C10+C11)*(C4+C5+C7+C8)</f>
        <v>0</v>
      </c>
      <c r="D82" s="449"/>
      <c r="E82" s="496">
        <f t="shared" si="1"/>
        <v>0</v>
      </c>
      <c r="F82" s="440"/>
      <c r="G82" s="440"/>
      <c r="H82" s="535"/>
      <c r="I82" s="535"/>
      <c r="J82" s="535"/>
      <c r="K82" s="535"/>
    </row>
    <row r="83" spans="1:11">
      <c r="A83" s="501"/>
      <c r="B83" s="548" t="s">
        <v>575</v>
      </c>
      <c r="C83" s="495">
        <f>C11*(C4+C8)</f>
        <v>0</v>
      </c>
      <c r="D83" s="449"/>
      <c r="E83" s="496">
        <f t="shared" si="1"/>
        <v>0</v>
      </c>
      <c r="F83" s="440"/>
      <c r="G83" s="440"/>
      <c r="H83" s="535"/>
      <c r="I83" s="535"/>
      <c r="J83" s="535"/>
      <c r="K83" s="535"/>
    </row>
    <row r="84" spans="1:11">
      <c r="A84" s="501"/>
      <c r="B84" s="548" t="s">
        <v>455</v>
      </c>
      <c r="C84" s="495">
        <f>C12*(C6+C9)</f>
        <v>0</v>
      </c>
      <c r="D84" s="449"/>
      <c r="E84" s="496">
        <f t="shared" si="1"/>
        <v>0</v>
      </c>
      <c r="F84" s="440"/>
      <c r="G84" s="440"/>
      <c r="H84" s="535"/>
      <c r="I84" s="535"/>
      <c r="J84" s="535"/>
      <c r="K84" s="535"/>
    </row>
    <row r="85" spans="1:11">
      <c r="A85" s="501"/>
      <c r="B85" s="548" t="s">
        <v>456</v>
      </c>
      <c r="C85" s="495">
        <f>C12*(C6+C9)</f>
        <v>0</v>
      </c>
      <c r="D85" s="449"/>
      <c r="E85" s="496">
        <f t="shared" si="1"/>
        <v>0</v>
      </c>
      <c r="F85" s="440"/>
      <c r="G85" s="440"/>
      <c r="H85" s="535"/>
      <c r="I85" s="535"/>
      <c r="J85" s="535"/>
      <c r="K85" s="535"/>
    </row>
    <row r="86" spans="1:11">
      <c r="A86" s="501"/>
      <c r="B86" s="548" t="s">
        <v>608</v>
      </c>
      <c r="C86" s="495">
        <f>C4+C7</f>
        <v>0</v>
      </c>
      <c r="D86" s="449"/>
      <c r="E86" s="496">
        <f t="shared" si="1"/>
        <v>0</v>
      </c>
      <c r="F86" s="440"/>
      <c r="G86" s="440"/>
      <c r="H86" s="535"/>
      <c r="I86" s="535"/>
      <c r="J86" s="535"/>
      <c r="K86" s="535"/>
    </row>
    <row r="87" spans="1:11">
      <c r="A87" s="501"/>
      <c r="B87" s="548" t="s">
        <v>458</v>
      </c>
      <c r="C87" s="495">
        <f>C14*(C8+C5)</f>
        <v>0</v>
      </c>
      <c r="D87" s="449"/>
      <c r="E87" s="496">
        <f t="shared" si="1"/>
        <v>0</v>
      </c>
      <c r="F87" s="440"/>
      <c r="G87" s="440"/>
      <c r="H87" s="535"/>
      <c r="I87" s="535"/>
      <c r="J87" s="535"/>
      <c r="K87" s="535"/>
    </row>
    <row r="88" spans="1:11" ht="11.25" customHeight="1">
      <c r="A88" s="501"/>
      <c r="B88" s="548" t="s">
        <v>609</v>
      </c>
      <c r="C88" s="495">
        <f>(C14+C13)*(C4+C5+C7+C8)</f>
        <v>0</v>
      </c>
      <c r="D88" s="449"/>
      <c r="E88" s="496">
        <f t="shared" si="1"/>
        <v>0</v>
      </c>
      <c r="F88" s="440"/>
      <c r="G88" s="440"/>
      <c r="H88" s="535"/>
      <c r="I88" s="535"/>
      <c r="J88" s="535"/>
      <c r="K88" s="535"/>
    </row>
    <row r="89" spans="1:11" ht="11.25" customHeight="1">
      <c r="A89" s="501"/>
      <c r="B89" s="548" t="s">
        <v>465</v>
      </c>
      <c r="C89" s="495">
        <f>C15*(C6+C9)</f>
        <v>0</v>
      </c>
      <c r="D89" s="497"/>
      <c r="E89" s="496">
        <f t="shared" si="1"/>
        <v>0</v>
      </c>
      <c r="F89" s="440"/>
      <c r="G89" s="440"/>
      <c r="H89" s="535"/>
      <c r="I89" s="535"/>
      <c r="J89" s="535"/>
      <c r="K89" s="535"/>
    </row>
    <row r="90" spans="1:11" ht="11.25" customHeight="1">
      <c r="A90" s="501"/>
      <c r="B90" s="201" t="s">
        <v>203</v>
      </c>
      <c r="C90" s="495">
        <f>C27</f>
        <v>0</v>
      </c>
      <c r="D90" s="818"/>
      <c r="E90" s="496">
        <f t="shared" si="1"/>
        <v>0</v>
      </c>
      <c r="F90" s="440"/>
      <c r="G90" s="440"/>
      <c r="H90" s="535"/>
      <c r="I90" s="535"/>
      <c r="J90" s="535"/>
      <c r="K90" s="535"/>
    </row>
    <row r="91" spans="1:11" ht="11.25" customHeight="1">
      <c r="A91" s="501"/>
      <c r="B91" s="201" t="s">
        <v>206</v>
      </c>
      <c r="C91" s="495">
        <f>C26</f>
        <v>0</v>
      </c>
      <c r="D91" s="818"/>
      <c r="E91" s="496">
        <f t="shared" si="1"/>
        <v>0</v>
      </c>
      <c r="F91" s="440"/>
      <c r="G91" s="440"/>
      <c r="H91" s="535"/>
      <c r="I91" s="535"/>
      <c r="J91" s="535"/>
      <c r="K91" s="535"/>
    </row>
    <row r="92" spans="1:11" ht="11.25" customHeight="1">
      <c r="A92" s="501"/>
      <c r="B92" s="28" t="s">
        <v>769</v>
      </c>
      <c r="C92" s="495">
        <f>C28</f>
        <v>0</v>
      </c>
      <c r="D92" s="818"/>
      <c r="E92" s="496">
        <f t="shared" si="1"/>
        <v>0</v>
      </c>
      <c r="F92" s="440"/>
      <c r="G92" s="440"/>
      <c r="H92" s="535"/>
      <c r="I92" s="535"/>
      <c r="J92" s="535"/>
      <c r="K92" s="535"/>
    </row>
    <row r="93" spans="1:11" ht="11.25" customHeight="1" thickBot="1">
      <c r="A93" s="501"/>
      <c r="B93" s="819" t="s">
        <v>466</v>
      </c>
      <c r="C93" s="498">
        <f>C15*(C6+C9)</f>
        <v>0</v>
      </c>
      <c r="D93" s="499"/>
      <c r="E93" s="500">
        <f t="shared" si="1"/>
        <v>0</v>
      </c>
      <c r="F93" s="440"/>
      <c r="G93" s="553"/>
      <c r="H93" s="535"/>
      <c r="I93" s="535"/>
      <c r="J93" s="535"/>
      <c r="K93" s="535"/>
    </row>
    <row r="94" spans="1:11" ht="11.25" customHeight="1" thickBot="1">
      <c r="A94" s="501"/>
      <c r="B94" s="535"/>
      <c r="C94" s="535"/>
      <c r="D94" s="551" t="s">
        <v>9</v>
      </c>
      <c r="E94" s="552">
        <f>SUMIF(E31:E93,"&gt;0",E31:E93)</f>
        <v>0</v>
      </c>
      <c r="F94" s="553"/>
      <c r="G94" s="535"/>
      <c r="H94" s="535"/>
      <c r="I94" s="535"/>
      <c r="J94" s="535"/>
      <c r="K94" s="535"/>
    </row>
    <row r="95" spans="1:11" ht="11.25" customHeight="1">
      <c r="A95" s="501"/>
      <c r="B95" s="535"/>
      <c r="C95" s="535"/>
      <c r="D95" s="535"/>
      <c r="E95" s="535"/>
      <c r="F95" s="535"/>
      <c r="G95" s="535"/>
      <c r="H95" s="535"/>
      <c r="I95" s="535"/>
      <c r="J95" s="535"/>
      <c r="K95" s="537"/>
    </row>
    <row r="96" spans="1:11" ht="11.25" customHeight="1">
      <c r="A96" s="501"/>
      <c r="B96" s="535"/>
      <c r="C96" s="535"/>
      <c r="D96" s="535"/>
      <c r="E96" s="535"/>
      <c r="F96" s="535"/>
      <c r="G96" s="535"/>
      <c r="H96" s="535"/>
      <c r="I96" s="535"/>
      <c r="J96" s="535"/>
      <c r="K96" s="535"/>
    </row>
    <row r="97" spans="1:11" ht="11.25" customHeight="1">
      <c r="A97" s="501"/>
      <c r="B97" s="535"/>
      <c r="C97" s="535"/>
      <c r="D97" s="535"/>
      <c r="E97" s="535"/>
      <c r="F97" s="535"/>
      <c r="G97" s="501"/>
      <c r="H97" s="501"/>
      <c r="I97" s="501"/>
      <c r="J97" s="501"/>
      <c r="K97" s="501"/>
    </row>
    <row r="98" spans="1:11" ht="11.25" customHeight="1">
      <c r="A98" s="501"/>
      <c r="B98" s="501"/>
      <c r="C98" s="501"/>
      <c r="D98" s="501"/>
      <c r="E98" s="501"/>
      <c r="F98" s="501"/>
      <c r="G98" s="501"/>
      <c r="H98" s="501"/>
      <c r="I98" s="501"/>
      <c r="J98" s="501"/>
      <c r="K98" s="501"/>
    </row>
    <row r="99" spans="1:11" ht="11.25" customHeight="1">
      <c r="A99" s="501"/>
      <c r="B99" s="501"/>
      <c r="C99" s="501"/>
      <c r="D99" s="501"/>
      <c r="E99" s="501"/>
      <c r="F99" s="501"/>
      <c r="G99" s="501"/>
      <c r="H99" s="501"/>
      <c r="I99" s="501"/>
      <c r="J99" s="501"/>
      <c r="K99" s="501"/>
    </row>
    <row r="100" spans="1:11" ht="11.25" customHeight="1">
      <c r="A100" s="501"/>
      <c r="B100" s="501"/>
      <c r="C100" s="501"/>
      <c r="D100" s="501"/>
      <c r="E100" s="501"/>
      <c r="F100" s="501"/>
      <c r="G100" s="501"/>
      <c r="H100" s="501"/>
      <c r="I100" s="501"/>
      <c r="J100" s="501"/>
      <c r="K100" s="501"/>
    </row>
    <row r="101" spans="1:11" ht="11.25" customHeight="1">
      <c r="A101" s="501"/>
      <c r="B101" s="501"/>
      <c r="C101" s="501"/>
      <c r="D101" s="501"/>
      <c r="E101" s="501"/>
      <c r="F101" s="501"/>
      <c r="G101" s="501"/>
      <c r="H101" s="501"/>
      <c r="I101" s="501"/>
      <c r="J101" s="501"/>
      <c r="K101" s="501"/>
    </row>
    <row r="102" spans="1:11" ht="11.25" customHeight="1">
      <c r="A102" s="501"/>
      <c r="B102" s="501"/>
      <c r="C102" s="501"/>
      <c r="D102" s="501"/>
      <c r="E102" s="501"/>
      <c r="F102" s="501"/>
      <c r="G102" s="501"/>
      <c r="H102" s="501"/>
      <c r="I102" s="501"/>
      <c r="J102" s="501"/>
      <c r="K102" s="501"/>
    </row>
    <row r="103" spans="1:11" ht="11.25" customHeight="1">
      <c r="A103" s="501"/>
      <c r="B103" s="501"/>
      <c r="C103" s="501"/>
      <c r="D103" s="501"/>
      <c r="E103" s="501"/>
      <c r="F103" s="501"/>
      <c r="G103" s="501"/>
      <c r="H103" s="501"/>
      <c r="I103" s="501"/>
      <c r="J103" s="501"/>
      <c r="K103" s="501"/>
    </row>
    <row r="104" spans="1:11" ht="11.25" customHeight="1">
      <c r="A104" s="501"/>
      <c r="B104" s="501"/>
      <c r="C104" s="501"/>
      <c r="D104" s="501"/>
      <c r="E104" s="501"/>
      <c r="F104" s="501"/>
      <c r="G104" s="501"/>
      <c r="H104" s="501"/>
      <c r="I104" s="501"/>
      <c r="J104" s="501"/>
      <c r="K104" s="501"/>
    </row>
    <row r="105" spans="1:11" ht="10.5" customHeight="1">
      <c r="B105" s="501"/>
      <c r="C105" s="501"/>
      <c r="D105" s="501"/>
      <c r="E105" s="501"/>
      <c r="F105" s="501"/>
    </row>
    <row r="106" spans="1:11" ht="11.25" customHeight="1"/>
    <row r="107" spans="1:11" ht="10.5" customHeight="1"/>
    <row r="108" spans="1:11" ht="11.25" customHeight="1"/>
    <row r="109" spans="1:11" ht="11.25" customHeight="1"/>
    <row r="110" spans="1:11" ht="11.25" customHeight="1"/>
    <row r="111" spans="1:11" ht="11.25" customHeight="1"/>
    <row r="112" spans="1:11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2" customHeight="1"/>
  </sheetData>
  <sheetProtection algorithmName="SHA-512" hashValue="6vFA7HehJrq7t0aOoJ2cWmZUYMmq13Ety9Y5SQt0uJDDBJACVAkSP5A3ytFpqUX8dDoKHE/qvONFgWzOlRzgww==" saltValue="wHFnwj/C5IIULBdw493HkA==" spinCount="100000" sheet="1"/>
  <mergeCells count="9">
    <mergeCell ref="B29:E29"/>
    <mergeCell ref="B1:E1"/>
    <mergeCell ref="D2:F3"/>
    <mergeCell ref="D4:F9"/>
    <mergeCell ref="F10:F15"/>
    <mergeCell ref="F22:F25"/>
    <mergeCell ref="D26:F26"/>
    <mergeCell ref="D27:F27"/>
    <mergeCell ref="D28:F28"/>
  </mergeCells>
  <conditionalFormatting sqref="I3:I21">
    <cfRule type="cellIs" dxfId="474" priority="17" operator="equal">
      <formula>"ДА"</formula>
    </cfRule>
    <cfRule type="cellIs" dxfId="473" priority="18" operator="equal">
      <formula>"НЕТ"</formula>
    </cfRule>
  </conditionalFormatting>
  <conditionalFormatting sqref="I3:I21">
    <cfRule type="colorScale" priority="19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39:E42 C44:E93 C31:E37">
    <cfRule type="cellIs" dxfId="472" priority="10" operator="greaterThan">
      <formula>0</formula>
    </cfRule>
  </conditionalFormatting>
  <conditionalFormatting sqref="E94">
    <cfRule type="cellIs" dxfId="471" priority="8" operator="greaterThan">
      <formula>0</formula>
    </cfRule>
    <cfRule type="cellIs" dxfId="470" priority="9" operator="greaterThan">
      <formula>0</formula>
    </cfRule>
  </conditionalFormatting>
  <conditionalFormatting sqref="J3:K21">
    <cfRule type="cellIs" dxfId="469" priority="7" operator="greaterThan">
      <formula>0</formula>
    </cfRule>
  </conditionalFormatting>
  <conditionalFormatting sqref="C2:C19 C21:C28">
    <cfRule type="cellIs" dxfId="468" priority="6" operator="greaterThan">
      <formula>0</formula>
    </cfRule>
  </conditionalFormatting>
  <conditionalFormatting sqref="K3:K21">
    <cfRule type="cellIs" dxfId="467" priority="5" operator="greaterThan">
      <formula>0</formula>
    </cfRule>
  </conditionalFormatting>
  <conditionalFormatting sqref="C38:E38">
    <cfRule type="cellIs" dxfId="466" priority="4" operator="greaterThan">
      <formula>0</formula>
    </cfRule>
  </conditionalFormatting>
  <conditionalFormatting sqref="C43:E43">
    <cfRule type="cellIs" dxfId="465" priority="3" operator="greaterThan">
      <formula>0</formula>
    </cfRule>
  </conditionalFormatting>
  <conditionalFormatting sqref="C90:C92">
    <cfRule type="cellIs" dxfId="464" priority="2" operator="greaterThan">
      <formula>0</formula>
    </cfRule>
  </conditionalFormatting>
  <conditionalFormatting sqref="C20">
    <cfRule type="cellIs" dxfId="463" priority="1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I8" formula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O83"/>
  <sheetViews>
    <sheetView showGridLines="0" showRowColHeaders="0" zoomScale="106" zoomScaleNormal="106" workbookViewId="0">
      <pane ySplit="22" topLeftCell="A23" activePane="bottomLeft" state="frozen"/>
      <selection pane="bottomLeft" activeCell="C28" sqref="C28"/>
    </sheetView>
  </sheetViews>
  <sheetFormatPr defaultRowHeight="11.25"/>
  <cols>
    <col min="2" max="2" width="59" customWidth="1"/>
    <col min="3" max="3" width="11" customWidth="1"/>
    <col min="4" max="4" width="15" customWidth="1"/>
    <col min="5" max="5" width="17.6640625" customWidth="1"/>
    <col min="6" max="6" width="24.5" customWidth="1"/>
    <col min="7" max="7" width="3.5" customWidth="1"/>
    <col min="8" max="8" width="43.5" customWidth="1"/>
    <col min="9" max="9" width="4.83203125" customWidth="1"/>
  </cols>
  <sheetData>
    <row r="1" spans="1:15" ht="54" customHeight="1" thickBot="1">
      <c r="A1" s="501"/>
      <c r="B1" s="1045"/>
      <c r="C1" s="1046"/>
      <c r="D1" s="1046"/>
      <c r="E1" s="501"/>
      <c r="F1" s="501"/>
      <c r="G1" s="501"/>
      <c r="H1" s="501"/>
      <c r="I1" s="501"/>
      <c r="J1" s="501"/>
      <c r="K1" s="501"/>
      <c r="L1" s="501"/>
    </row>
    <row r="2" spans="1:15" ht="12" customHeight="1" thickBot="1">
      <c r="A2" s="501"/>
      <c r="B2" s="503" t="s">
        <v>10</v>
      </c>
      <c r="C2" s="554">
        <v>0</v>
      </c>
      <c r="D2" s="1047" t="s">
        <v>675</v>
      </c>
      <c r="E2" s="1048"/>
      <c r="F2" s="1049"/>
      <c r="G2" s="577"/>
      <c r="H2" s="505" t="s">
        <v>565</v>
      </c>
      <c r="I2" s="506" t="s">
        <v>684</v>
      </c>
      <c r="J2" s="572" t="s">
        <v>4</v>
      </c>
      <c r="K2" s="573" t="s">
        <v>8</v>
      </c>
      <c r="L2" s="578"/>
    </row>
    <row r="3" spans="1:15" ht="12.75" thickBot="1">
      <c r="A3" s="501"/>
      <c r="B3" s="508" t="s">
        <v>1</v>
      </c>
      <c r="C3" s="555">
        <v>0</v>
      </c>
      <c r="D3" s="1050"/>
      <c r="E3" s="1051"/>
      <c r="F3" s="1052"/>
      <c r="G3" s="577"/>
      <c r="H3" s="509" t="s">
        <v>450</v>
      </c>
      <c r="I3" s="510" t="str">
        <f>IF(AND($C$7+$C$8=1,$C$9+$C$10+$C$11+$C$12=0,$C$13=2),"ДА","НЕТ")</f>
        <v>НЕТ</v>
      </c>
      <c r="J3" s="413"/>
      <c r="K3" s="414">
        <f>IF(I3="ДА",($C$4+$C$5+$C$6)*J3,0)</f>
        <v>0</v>
      </c>
      <c r="L3" s="578"/>
    </row>
    <row r="4" spans="1:15" ht="12" customHeight="1">
      <c r="A4" s="501"/>
      <c r="B4" s="503" t="s">
        <v>610</v>
      </c>
      <c r="C4" s="560">
        <v>0</v>
      </c>
      <c r="D4" s="1047" t="s">
        <v>677</v>
      </c>
      <c r="E4" s="1048"/>
      <c r="F4" s="1049"/>
      <c r="G4" s="579"/>
      <c r="H4" s="512" t="s">
        <v>451</v>
      </c>
      <c r="I4" s="510" t="str">
        <f>IF(AND($C$7+$C$8=1,$C$9+$C$10+$C$11+$C$12=0,$C$13=2),"ДА","НЕТ")</f>
        <v>НЕТ</v>
      </c>
      <c r="J4" s="491"/>
      <c r="K4" s="414">
        <f t="shared" ref="K4:K21" si="0">IF(I4="ДА",($C$4+$C$5+$C$6)*J4,0)</f>
        <v>0</v>
      </c>
      <c r="L4" s="580"/>
    </row>
    <row r="5" spans="1:15" ht="12">
      <c r="A5" s="501"/>
      <c r="B5" s="515" t="s">
        <v>475</v>
      </c>
      <c r="C5" s="558">
        <v>0</v>
      </c>
      <c r="D5" s="1067"/>
      <c r="E5" s="1053"/>
      <c r="F5" s="1054"/>
      <c r="G5" s="535"/>
      <c r="H5" s="512" t="s">
        <v>452</v>
      </c>
      <c r="I5" s="510" t="str">
        <f>IF(AND($C$7+$C$8=1,$C$9+$C$10+$C$11+$C$12=0,$C$13=2),"ДА","НЕТ")</f>
        <v>НЕТ</v>
      </c>
      <c r="J5" s="491"/>
      <c r="K5" s="414">
        <f t="shared" si="0"/>
        <v>0</v>
      </c>
      <c r="L5" s="501"/>
    </row>
    <row r="6" spans="1:15" ht="12.75" thickBot="1">
      <c r="A6" s="501"/>
      <c r="B6" s="536" t="s">
        <v>471</v>
      </c>
      <c r="C6" s="562">
        <v>0</v>
      </c>
      <c r="D6" s="1067"/>
      <c r="E6" s="1053"/>
      <c r="F6" s="1054"/>
      <c r="G6" s="581"/>
      <c r="H6" s="514" t="s">
        <v>454</v>
      </c>
      <c r="I6" s="510" t="str">
        <f>IF(AND($C$7+$C$8=1,$C$9+$C$10+$C$11+$C$12=0,$C$13=3),"ДА","НЕТ")</f>
        <v>НЕТ</v>
      </c>
      <c r="J6" s="417"/>
      <c r="K6" s="414">
        <f t="shared" si="0"/>
        <v>0</v>
      </c>
      <c r="L6" s="582"/>
      <c r="M6" s="337"/>
      <c r="N6" s="337"/>
      <c r="O6" s="337"/>
    </row>
    <row r="7" spans="1:15" ht="12" customHeight="1">
      <c r="A7" s="501"/>
      <c r="B7" s="503" t="s">
        <v>601</v>
      </c>
      <c r="C7" s="560">
        <v>0</v>
      </c>
      <c r="D7" s="516" t="s">
        <v>365</v>
      </c>
      <c r="E7" s="517" t="s">
        <v>327</v>
      </c>
      <c r="F7" s="1055" t="s">
        <v>676</v>
      </c>
      <c r="G7" s="581"/>
      <c r="H7" s="512" t="s">
        <v>569</v>
      </c>
      <c r="I7" s="510" t="str">
        <f>IF(AND($C$9=1,$C$7+$C$8+$C$10+$C$11+$C$12=0,$C$13=1),"ДА","НЕТ")</f>
        <v>НЕТ</v>
      </c>
      <c r="J7" s="491"/>
      <c r="K7" s="414">
        <f t="shared" si="0"/>
        <v>0</v>
      </c>
      <c r="L7" s="582"/>
      <c r="M7" s="337"/>
      <c r="N7" s="337"/>
      <c r="O7" s="337"/>
    </row>
    <row r="8" spans="1:15" ht="12">
      <c r="A8" s="501"/>
      <c r="B8" s="515" t="s">
        <v>570</v>
      </c>
      <c r="C8" s="558">
        <v>0</v>
      </c>
      <c r="D8" s="520" t="s">
        <v>365</v>
      </c>
      <c r="E8" s="521" t="s">
        <v>327</v>
      </c>
      <c r="F8" s="1056"/>
      <c r="G8" s="535"/>
      <c r="H8" s="514" t="s">
        <v>566</v>
      </c>
      <c r="I8" s="510" t="str">
        <f>IF(AND($C$9=1,$C$7+$C$8+$C$10+$C$11+$C$12=0,$C$13=3),"ДА","НЕТ")</f>
        <v>НЕТ</v>
      </c>
      <c r="J8" s="417"/>
      <c r="K8" s="414">
        <f t="shared" si="0"/>
        <v>0</v>
      </c>
      <c r="L8" s="501"/>
    </row>
    <row r="9" spans="1:15" ht="12">
      <c r="A9" s="501"/>
      <c r="B9" s="513" t="s">
        <v>571</v>
      </c>
      <c r="C9" s="557">
        <v>0</v>
      </c>
      <c r="D9" s="520" t="s">
        <v>365</v>
      </c>
      <c r="E9" s="520" t="s">
        <v>327</v>
      </c>
      <c r="F9" s="1056"/>
      <c r="G9" s="535"/>
      <c r="H9" s="514" t="s">
        <v>567</v>
      </c>
      <c r="I9" s="510" t="str">
        <f>IF(AND($C$9=1,$C$7+$C$8+$C$10+$C$11+$C$12=0,$C$13=2),"ДА","НЕТ")</f>
        <v>НЕТ</v>
      </c>
      <c r="J9" s="417"/>
      <c r="K9" s="414">
        <f t="shared" si="0"/>
        <v>0</v>
      </c>
      <c r="L9" s="501"/>
    </row>
    <row r="10" spans="1:15" ht="12">
      <c r="A10" s="501"/>
      <c r="B10" s="515" t="s">
        <v>602</v>
      </c>
      <c r="C10" s="558">
        <v>0</v>
      </c>
      <c r="D10" s="518" t="s">
        <v>365</v>
      </c>
      <c r="E10" s="519" t="s">
        <v>327</v>
      </c>
      <c r="F10" s="1056"/>
      <c r="G10" s="535"/>
      <c r="H10" s="514" t="s">
        <v>568</v>
      </c>
      <c r="I10" s="510" t="str">
        <f>IF(AND($C$9=1,$C$7+$C$8+$C$10+$C$11+$C$12=0,$C$13=2),"ДА","НЕТ")</f>
        <v>НЕТ</v>
      </c>
      <c r="J10" s="417"/>
      <c r="K10" s="414">
        <f t="shared" si="0"/>
        <v>0</v>
      </c>
      <c r="L10" s="501"/>
    </row>
    <row r="11" spans="1:15" ht="12">
      <c r="A11" s="501"/>
      <c r="B11" s="515" t="s">
        <v>572</v>
      </c>
      <c r="C11" s="558">
        <v>0</v>
      </c>
      <c r="D11" s="520" t="s">
        <v>365</v>
      </c>
      <c r="E11" s="521" t="s">
        <v>327</v>
      </c>
      <c r="F11" s="1056"/>
      <c r="G11" s="537"/>
      <c r="H11" s="514" t="s">
        <v>574</v>
      </c>
      <c r="I11" s="510" t="str">
        <f>IF(AND($C$9=1,$C$7+$C$8+$C$10+$C$11+$C$12=0,$C$13=2),"ДА","НЕТ")</f>
        <v>НЕТ</v>
      </c>
      <c r="J11" s="417"/>
      <c r="K11" s="414">
        <f t="shared" si="0"/>
        <v>0</v>
      </c>
      <c r="L11" s="585"/>
      <c r="M11" s="87"/>
      <c r="N11" s="87"/>
    </row>
    <row r="12" spans="1:15" ht="12.75" thickBot="1">
      <c r="A12" s="501"/>
      <c r="B12" s="586" t="s">
        <v>573</v>
      </c>
      <c r="C12" s="568">
        <v>0</v>
      </c>
      <c r="D12" s="587" t="s">
        <v>365</v>
      </c>
      <c r="E12" s="588" t="s">
        <v>327</v>
      </c>
      <c r="F12" s="1057"/>
      <c r="G12" s="589"/>
      <c r="H12" s="514" t="s">
        <v>706</v>
      </c>
      <c r="I12" s="510" t="str">
        <f>IF(AND($C$10=1,$C$8+$C$9+$C$7+$C$11+$C$12=0,$C$13=2),"ДА","НЕТ")</f>
        <v>НЕТ</v>
      </c>
      <c r="J12" s="417"/>
      <c r="K12" s="414">
        <f t="shared" si="0"/>
        <v>0</v>
      </c>
      <c r="L12" s="585"/>
      <c r="M12" s="87"/>
      <c r="N12" s="87"/>
    </row>
    <row r="13" spans="1:15" ht="12.75" thickBot="1">
      <c r="A13" s="501"/>
      <c r="B13" s="525" t="s">
        <v>669</v>
      </c>
      <c r="C13" s="561">
        <v>0</v>
      </c>
      <c r="D13" s="567" t="s">
        <v>699</v>
      </c>
      <c r="E13" s="530" t="s">
        <v>700</v>
      </c>
      <c r="F13" s="532" t="s">
        <v>701</v>
      </c>
      <c r="G13" s="589"/>
      <c r="H13" s="514" t="s">
        <v>598</v>
      </c>
      <c r="I13" s="510" t="str">
        <f>IF(AND($C$10=1,$C$8+$C$9+$C$7+$C$11+$C$12=0,$C$13=2),"ДА","НЕТ")</f>
        <v>НЕТ</v>
      </c>
      <c r="J13" s="417"/>
      <c r="K13" s="414">
        <f t="shared" si="0"/>
        <v>0</v>
      </c>
      <c r="L13" s="585"/>
      <c r="M13" s="87"/>
      <c r="N13" s="87"/>
    </row>
    <row r="14" spans="1:15" ht="12.75" thickBot="1">
      <c r="A14" s="501"/>
      <c r="B14" s="525" t="s">
        <v>802</v>
      </c>
      <c r="C14" s="561">
        <v>0</v>
      </c>
      <c r="D14" s="587" t="s">
        <v>365</v>
      </c>
      <c r="E14" s="588" t="s">
        <v>327</v>
      </c>
      <c r="F14" s="717"/>
      <c r="G14" s="535"/>
      <c r="H14" s="514" t="s">
        <v>599</v>
      </c>
      <c r="I14" s="510" t="str">
        <f>IF(AND($C$10=1,$C$8+$C$9+$C$7+$C$11+$C$12=0,$C$13=1),"ДА","НЕТ")</f>
        <v>НЕТ</v>
      </c>
      <c r="J14" s="417"/>
      <c r="K14" s="414">
        <f t="shared" si="0"/>
        <v>0</v>
      </c>
      <c r="L14" s="501"/>
    </row>
    <row r="15" spans="1:15" ht="12" customHeight="1" thickBot="1">
      <c r="A15" s="501"/>
      <c r="B15" s="525" t="s">
        <v>436</v>
      </c>
      <c r="C15" s="561">
        <v>0</v>
      </c>
      <c r="D15" s="529" t="s">
        <v>702</v>
      </c>
      <c r="E15" s="530" t="s">
        <v>703</v>
      </c>
      <c r="F15" s="717"/>
      <c r="G15" s="535"/>
      <c r="H15" s="512" t="s">
        <v>457</v>
      </c>
      <c r="I15" s="510" t="str">
        <f>IF(AND($C$11=1,$C$7+$C$9+$C$10+$C$8+$C$12=0,$C$13=2),"ДА","НЕТ")</f>
        <v>НЕТ</v>
      </c>
      <c r="J15" s="420"/>
      <c r="K15" s="414">
        <f t="shared" si="0"/>
        <v>0</v>
      </c>
      <c r="L15" s="501"/>
    </row>
    <row r="16" spans="1:15" ht="12">
      <c r="A16" s="501"/>
      <c r="B16" s="503" t="s">
        <v>476</v>
      </c>
      <c r="C16" s="560">
        <v>0</v>
      </c>
      <c r="D16" s="520" t="s">
        <v>365</v>
      </c>
      <c r="E16" s="521" t="s">
        <v>327</v>
      </c>
      <c r="F16" s="1068" t="s">
        <v>677</v>
      </c>
      <c r="G16" s="535"/>
      <c r="H16" s="509" t="s">
        <v>460</v>
      </c>
      <c r="I16" s="510" t="str">
        <f>IF(AND($C$11=1,$C$7+$C$9+$C$10+$C$8+$C$12=0,$C$13=1),"ДА","НЕТ")</f>
        <v>НЕТ</v>
      </c>
      <c r="J16" s="420"/>
      <c r="K16" s="414">
        <f t="shared" si="0"/>
        <v>0</v>
      </c>
      <c r="L16" s="501"/>
    </row>
    <row r="17" spans="1:12" ht="12.75" thickBot="1">
      <c r="A17" s="585"/>
      <c r="B17" s="508" t="s">
        <v>477</v>
      </c>
      <c r="C17" s="559">
        <v>0</v>
      </c>
      <c r="D17" s="583" t="s">
        <v>365</v>
      </c>
      <c r="E17" s="584" t="s">
        <v>327</v>
      </c>
      <c r="F17" s="1069"/>
      <c r="G17" s="535"/>
      <c r="H17" s="509" t="s">
        <v>461</v>
      </c>
      <c r="I17" s="510" t="str">
        <f>IF(AND($C$11=1,$C$7+$C$9+$C$10+$C$8+$C$12=0,$C$13=3),"ДА","НЕТ")</f>
        <v>НЕТ</v>
      </c>
      <c r="J17" s="420"/>
      <c r="K17" s="414">
        <f t="shared" si="0"/>
        <v>0</v>
      </c>
      <c r="L17" s="501"/>
    </row>
    <row r="18" spans="1:12" ht="12">
      <c r="A18" s="585"/>
      <c r="B18" s="503" t="s">
        <v>205</v>
      </c>
      <c r="C18" s="560">
        <v>0</v>
      </c>
      <c r="D18" s="1058" t="s">
        <v>766</v>
      </c>
      <c r="E18" s="1059"/>
      <c r="F18" s="1060"/>
      <c r="G18" s="535"/>
      <c r="H18" s="509" t="s">
        <v>462</v>
      </c>
      <c r="I18" s="510" t="str">
        <f>IF(AND($C$12=1,$C$7+$C$8+$C$9+$C$10+$C$11=0,$C$13=1),"ДА","НЕТ")</f>
        <v>НЕТ</v>
      </c>
      <c r="J18" s="420"/>
      <c r="K18" s="414">
        <f t="shared" si="0"/>
        <v>0</v>
      </c>
      <c r="L18" s="501"/>
    </row>
    <row r="19" spans="1:12" ht="12">
      <c r="A19" s="585"/>
      <c r="B19" s="513" t="s">
        <v>204</v>
      </c>
      <c r="C19" s="557">
        <v>0</v>
      </c>
      <c r="D19" s="1061" t="s">
        <v>767</v>
      </c>
      <c r="E19" s="1062"/>
      <c r="F19" s="1063"/>
      <c r="G19" s="535"/>
      <c r="H19" s="512" t="s">
        <v>463</v>
      </c>
      <c r="I19" s="510" t="str">
        <f>IF(AND($C$12=1,$C$7+$C$8+$C$9+$C$10+$C$11=0,$C$13=1),"ДА","НЕТ")</f>
        <v>НЕТ</v>
      </c>
      <c r="J19" s="420"/>
      <c r="K19" s="414">
        <f t="shared" si="0"/>
        <v>0</v>
      </c>
      <c r="L19" s="501"/>
    </row>
    <row r="20" spans="1:12" ht="12.75" thickBot="1">
      <c r="A20" s="585"/>
      <c r="B20" s="508" t="s">
        <v>197</v>
      </c>
      <c r="C20" s="559">
        <v>0</v>
      </c>
      <c r="D20" s="1064" t="s">
        <v>768</v>
      </c>
      <c r="E20" s="1065"/>
      <c r="F20" s="1066"/>
      <c r="G20" s="535"/>
      <c r="H20" s="509" t="s">
        <v>467</v>
      </c>
      <c r="I20" s="510" t="str">
        <f>IF(AND($C$12=1,$C$7+$C$8+$C$9+$C$10+$C$11=0,$C$13=2),"ДА","НЕТ")</f>
        <v>НЕТ</v>
      </c>
      <c r="J20" s="420"/>
      <c r="K20" s="414">
        <f t="shared" si="0"/>
        <v>0</v>
      </c>
      <c r="L20" s="501"/>
    </row>
    <row r="21" spans="1:12" ht="12.75" thickBot="1">
      <c r="A21" s="585"/>
      <c r="B21" s="504"/>
      <c r="C21" s="504"/>
      <c r="D21" s="504"/>
      <c r="E21" s="537"/>
      <c r="F21" s="537"/>
      <c r="G21" s="535"/>
      <c r="H21" s="533" t="s">
        <v>468</v>
      </c>
      <c r="I21" s="534" t="str">
        <f>IF(AND($C$12=1,$C$7+$C$8+$C$9+$C$10+$C$11=0,$C$13=2),"ДА","НЕТ")</f>
        <v>НЕТ</v>
      </c>
      <c r="J21" s="427"/>
      <c r="K21" s="571">
        <f t="shared" si="0"/>
        <v>0</v>
      </c>
      <c r="L21" s="501"/>
    </row>
    <row r="22" spans="1:12" ht="12" thickBot="1">
      <c r="A22" s="501"/>
      <c r="B22" s="504"/>
      <c r="C22" s="504"/>
      <c r="D22" s="504"/>
      <c r="E22" s="537"/>
      <c r="F22" s="537"/>
      <c r="G22" s="535"/>
      <c r="H22" s="535"/>
      <c r="I22" s="535"/>
      <c r="J22" s="535"/>
      <c r="K22" s="535"/>
      <c r="L22" s="501"/>
    </row>
    <row r="23" spans="1:12" ht="13.5" thickBot="1">
      <c r="A23" s="501"/>
      <c r="B23" s="590" t="s">
        <v>5</v>
      </c>
      <c r="C23" s="591" t="s">
        <v>0</v>
      </c>
      <c r="D23" s="592" t="s">
        <v>4</v>
      </c>
      <c r="E23" s="593" t="s">
        <v>8</v>
      </c>
      <c r="F23" s="544"/>
      <c r="G23" s="535"/>
      <c r="H23" s="535"/>
      <c r="I23" s="535"/>
      <c r="J23" s="535"/>
      <c r="K23" s="535"/>
      <c r="L23" s="501"/>
    </row>
    <row r="24" spans="1:12">
      <c r="A24" s="501"/>
      <c r="B24" s="594" t="s">
        <v>478</v>
      </c>
      <c r="C24" s="574">
        <f>C16*2*(C4+C5+C6)</f>
        <v>0</v>
      </c>
      <c r="D24" s="575"/>
      <c r="E24" s="576">
        <f>C24*D24</f>
        <v>0</v>
      </c>
      <c r="F24" s="440"/>
      <c r="G24" s="535"/>
      <c r="H24" s="535"/>
      <c r="I24" s="535"/>
      <c r="J24" s="535"/>
      <c r="K24" s="535"/>
      <c r="L24" s="501"/>
    </row>
    <row r="25" spans="1:12">
      <c r="A25" s="501"/>
      <c r="B25" s="545" t="s">
        <v>479</v>
      </c>
      <c r="C25" s="437">
        <f>IF(C16=0,C17*(C4+C5+C6),0)</f>
        <v>0</v>
      </c>
      <c r="D25" s="449"/>
      <c r="E25" s="439">
        <f t="shared" ref="E25:E57" si="1">C25*D25</f>
        <v>0</v>
      </c>
      <c r="F25" s="440"/>
      <c r="G25" s="537"/>
      <c r="H25" s="535"/>
      <c r="I25" s="535"/>
      <c r="J25" s="535"/>
      <c r="K25" s="535"/>
      <c r="L25" s="501"/>
    </row>
    <row r="26" spans="1:12">
      <c r="A26" s="501"/>
      <c r="B26" s="547" t="s">
        <v>559</v>
      </c>
      <c r="C26" s="442">
        <f>IF(AND((C4+C5+C6)&gt;0.9,C14=0,C2&lt;=1),(C4+C5+C6)*2,IF(AND((C4+C5+C6)&gt;0.9,C14=0,C2&lt;=1.5),(C4+C5+C6)*3,IF(AND((C4+C5+C6)&gt;0.9,C14=0,C2&lt;=2),(C4+C5+C6)*4,IF(AND((C4+C5+C6)&gt;0.9,C14=0,C2&lt;=2.5),(C4+C5+C6)*5,IF(AND((C4+C5+C6)&gt;0.9,C14=0,C2&lt;=3),(C4+C5+C6)*6,IF(AND((C4+C5+C6)&gt;0.9,C14=0,C2&lt;=3.5),(C4+C5+C6)*7,IF(AND((C4+C5+C6)&gt;0.9,C14=0,C2&lt;=4),(C4+C5+C6)*8,IF(AND((C4+C5+C6)&gt;0.9,C14=0,C2&lt;=4.5),(C4+C5+C6)*9,IF(AND((C4+C5+C6)&gt;0.9,C14=0,C2&lt;=5),(C4+C5+C6)*10,0)))))))))</f>
        <v>0</v>
      </c>
      <c r="D26" s="449"/>
      <c r="E26" s="439">
        <f t="shared" si="1"/>
        <v>0</v>
      </c>
      <c r="F26" s="440"/>
      <c r="G26" s="535"/>
      <c r="H26" s="535"/>
      <c r="I26" s="535"/>
      <c r="J26" s="535"/>
      <c r="K26" s="535"/>
      <c r="L26" s="501"/>
    </row>
    <row r="27" spans="1:12">
      <c r="A27" s="501"/>
      <c r="B27" s="436" t="s">
        <v>803</v>
      </c>
      <c r="C27" s="442">
        <f>IF(AND((C4+C5+C6)&gt;0.9,C14=1,C2&lt;=1),(C4+C5+C6)*2,IF(AND((C4+C5+C6)&gt;0.9,C14=1,C2&lt;=1.5),(C4+C5+C6)*3,IF(AND((C4+C5+C6)&gt;0.9,C14=1,C2&lt;=2),(C4+C5+C6)*4,IF(AND((C4+C5+C6)&gt;0.9,C14=1,C2&lt;=2.5),(C4+C5+C6)*5,IF(AND((C4+C5+C6)&gt;0.9,C14=1,C2&lt;=3),(C4+C5+C6)*6,IF(AND((C4+C5+C6)&gt;0.9,C14=1,C2&lt;=3.5),(C4+C5+C6)*7,IF(AND((C4+C5+C6)&gt;0.9,C14=1,C2&lt;=4),(C4+C5+C6)*8,IF(AND((C4+C5+C6)&gt;0.9,C14=1,C2&lt;=4.5),(C4+C5+C6)*9,IF(AND((C4+C5+C6)&gt;0.9,C14=1,C2&lt;=5),(C4+C5+C6)*10,0)))))))))</f>
        <v>0</v>
      </c>
      <c r="D27" s="449"/>
      <c r="E27" s="439">
        <f t="shared" si="1"/>
        <v>0</v>
      </c>
      <c r="F27" s="440"/>
      <c r="G27" s="535"/>
      <c r="H27" s="535"/>
      <c r="I27" s="535"/>
      <c r="J27" s="535"/>
      <c r="K27" s="535"/>
      <c r="L27" s="501"/>
    </row>
    <row r="28" spans="1:12">
      <c r="A28" s="501"/>
      <c r="B28" s="547" t="s">
        <v>526</v>
      </c>
      <c r="C28" s="442">
        <f>IF(C15=1,(C4+C6+C5)*2,0)</f>
        <v>0</v>
      </c>
      <c r="D28" s="449"/>
      <c r="E28" s="439">
        <f t="shared" si="1"/>
        <v>0</v>
      </c>
      <c r="F28" s="440"/>
      <c r="G28" s="504"/>
      <c r="H28" s="535"/>
      <c r="I28" s="535"/>
      <c r="J28" s="535"/>
      <c r="K28" s="535"/>
      <c r="L28" s="501"/>
    </row>
    <row r="29" spans="1:12">
      <c r="A29" s="501"/>
      <c r="B29" s="547" t="s">
        <v>527</v>
      </c>
      <c r="C29" s="442">
        <f>IF(C15=2,(C4+C6+C5)*2,0)</f>
        <v>0</v>
      </c>
      <c r="D29" s="449"/>
      <c r="E29" s="439">
        <f t="shared" si="1"/>
        <v>0</v>
      </c>
      <c r="F29" s="440"/>
      <c r="G29" s="535"/>
      <c r="H29" s="535"/>
      <c r="I29" s="535"/>
      <c r="J29" s="535"/>
      <c r="K29" s="535"/>
      <c r="L29" s="501"/>
    </row>
    <row r="30" spans="1:12">
      <c r="A30" s="501"/>
      <c r="B30" s="545" t="s">
        <v>707</v>
      </c>
      <c r="C30" s="445">
        <f>C28</f>
        <v>0</v>
      </c>
      <c r="D30" s="449"/>
      <c r="E30" s="439">
        <f t="shared" si="1"/>
        <v>0</v>
      </c>
      <c r="F30" s="440"/>
      <c r="G30" s="537"/>
      <c r="H30" s="535"/>
      <c r="I30" s="535"/>
      <c r="J30" s="535"/>
      <c r="K30" s="535"/>
      <c r="L30" s="501"/>
    </row>
    <row r="31" spans="1:12">
      <c r="A31" s="501"/>
      <c r="B31" s="547" t="s">
        <v>708</v>
      </c>
      <c r="C31" s="442">
        <f>C29</f>
        <v>0</v>
      </c>
      <c r="D31" s="449"/>
      <c r="E31" s="439">
        <f t="shared" si="1"/>
        <v>0</v>
      </c>
      <c r="F31" s="440"/>
      <c r="G31" s="535"/>
      <c r="H31" s="535"/>
      <c r="I31" s="535"/>
      <c r="J31" s="535"/>
      <c r="K31" s="535"/>
      <c r="L31" s="501"/>
    </row>
    <row r="32" spans="1:12">
      <c r="A32" s="501"/>
      <c r="B32" s="547" t="s">
        <v>556</v>
      </c>
      <c r="C32" s="442">
        <f>(C4+C6+C5)*C2</f>
        <v>0</v>
      </c>
      <c r="D32" s="449"/>
      <c r="E32" s="439">
        <f t="shared" si="1"/>
        <v>0</v>
      </c>
      <c r="F32" s="440"/>
      <c r="G32" s="504"/>
      <c r="H32" s="535"/>
      <c r="I32" s="535"/>
      <c r="J32" s="535"/>
      <c r="K32" s="535"/>
      <c r="L32" s="501"/>
    </row>
    <row r="33" spans="1:12">
      <c r="A33" s="501"/>
      <c r="B33" s="545" t="s">
        <v>553</v>
      </c>
      <c r="C33" s="437">
        <f>C5*C2</f>
        <v>0</v>
      </c>
      <c r="D33" s="449"/>
      <c r="E33" s="439">
        <f t="shared" si="1"/>
        <v>0</v>
      </c>
      <c r="F33" s="440"/>
      <c r="G33" s="504"/>
      <c r="H33" s="535"/>
      <c r="I33" s="535"/>
      <c r="J33" s="535"/>
      <c r="K33" s="535"/>
      <c r="L33" s="501"/>
    </row>
    <row r="34" spans="1:12">
      <c r="A34" s="501"/>
      <c r="B34" s="547" t="s">
        <v>480</v>
      </c>
      <c r="C34" s="442">
        <f>(C16+C17)*C2*(C4+C5+C6)</f>
        <v>0</v>
      </c>
      <c r="D34" s="449"/>
      <c r="E34" s="439">
        <f t="shared" si="1"/>
        <v>0</v>
      </c>
      <c r="F34" s="440"/>
      <c r="G34" s="504"/>
      <c r="H34" s="535"/>
      <c r="I34" s="535"/>
      <c r="J34" s="535"/>
      <c r="K34" s="535"/>
      <c r="L34" s="501"/>
    </row>
    <row r="35" spans="1:12">
      <c r="A35" s="501"/>
      <c r="B35" s="547" t="s">
        <v>481</v>
      </c>
      <c r="C35" s="442">
        <f>C17*C2*(C4+C5+C6)</f>
        <v>0</v>
      </c>
      <c r="D35" s="449"/>
      <c r="E35" s="439">
        <f t="shared" si="1"/>
        <v>0</v>
      </c>
      <c r="F35" s="440"/>
      <c r="G35" s="504"/>
      <c r="H35" s="535"/>
      <c r="I35" s="535"/>
      <c r="J35" s="535"/>
      <c r="K35" s="535"/>
      <c r="L35" s="501"/>
    </row>
    <row r="36" spans="1:12">
      <c r="A36" s="501"/>
      <c r="B36" s="545" t="s">
        <v>605</v>
      </c>
      <c r="C36" s="442">
        <f>C2*C4</f>
        <v>0</v>
      </c>
      <c r="D36" s="449"/>
      <c r="E36" s="439">
        <f t="shared" si="1"/>
        <v>0</v>
      </c>
      <c r="F36" s="440"/>
      <c r="G36" s="535"/>
      <c r="H36" s="535"/>
      <c r="I36" s="535"/>
      <c r="J36" s="535"/>
      <c r="K36" s="535"/>
      <c r="L36" s="501"/>
    </row>
    <row r="37" spans="1:12">
      <c r="A37" s="501"/>
      <c r="B37" s="545" t="s">
        <v>530</v>
      </c>
      <c r="C37" s="442">
        <f>C2*C5</f>
        <v>0</v>
      </c>
      <c r="D37" s="449"/>
      <c r="E37" s="439">
        <f t="shared" si="1"/>
        <v>0</v>
      </c>
      <c r="F37" s="440"/>
      <c r="G37" s="535"/>
      <c r="H37" s="535"/>
      <c r="I37" s="535"/>
      <c r="J37" s="535"/>
      <c r="K37" s="535"/>
      <c r="L37" s="501"/>
    </row>
    <row r="38" spans="1:12">
      <c r="A38" s="501"/>
      <c r="B38" s="545" t="s">
        <v>529</v>
      </c>
      <c r="C38" s="437">
        <f>C2*C6</f>
        <v>0</v>
      </c>
      <c r="D38" s="449"/>
      <c r="E38" s="439">
        <f t="shared" si="1"/>
        <v>0</v>
      </c>
      <c r="F38" s="440"/>
      <c r="G38" s="535"/>
      <c r="H38" s="535"/>
      <c r="I38" s="535"/>
      <c r="J38" s="535"/>
      <c r="K38" s="535"/>
      <c r="L38" s="501"/>
    </row>
    <row r="39" spans="1:12">
      <c r="A39" s="501"/>
      <c r="B39" s="545" t="s">
        <v>444</v>
      </c>
      <c r="C39" s="437">
        <f>(C4+C6+C5)*C2</f>
        <v>0</v>
      </c>
      <c r="D39" s="449"/>
      <c r="E39" s="439">
        <f t="shared" si="1"/>
        <v>0</v>
      </c>
      <c r="F39" s="440"/>
      <c r="G39" s="535"/>
      <c r="H39" s="535"/>
      <c r="I39" s="535"/>
      <c r="J39" s="535"/>
      <c r="K39" s="535"/>
      <c r="L39" s="501"/>
    </row>
    <row r="40" spans="1:12">
      <c r="A40" s="501"/>
      <c r="B40" s="547" t="s">
        <v>482</v>
      </c>
      <c r="C40" s="442">
        <f>C4+C6+C5</f>
        <v>0</v>
      </c>
      <c r="D40" s="449"/>
      <c r="E40" s="439">
        <f t="shared" si="1"/>
        <v>0</v>
      </c>
      <c r="F40" s="440"/>
      <c r="G40" s="535"/>
      <c r="H40" s="535"/>
      <c r="I40" s="535"/>
      <c r="J40" s="535"/>
      <c r="K40" s="535"/>
      <c r="L40" s="501"/>
    </row>
    <row r="41" spans="1:12">
      <c r="A41" s="501"/>
      <c r="B41" s="547" t="s">
        <v>550</v>
      </c>
      <c r="C41" s="442">
        <f>C6</f>
        <v>0</v>
      </c>
      <c r="D41" s="449"/>
      <c r="E41" s="439">
        <f t="shared" si="1"/>
        <v>0</v>
      </c>
      <c r="F41" s="440"/>
      <c r="G41" s="535"/>
      <c r="H41" s="535"/>
      <c r="I41" s="535"/>
      <c r="J41" s="535"/>
      <c r="K41" s="535"/>
      <c r="L41" s="501"/>
    </row>
    <row r="42" spans="1:12">
      <c r="A42" s="501"/>
      <c r="B42" s="547" t="s">
        <v>445</v>
      </c>
      <c r="C42" s="442">
        <f>C6</f>
        <v>0</v>
      </c>
      <c r="D42" s="449"/>
      <c r="E42" s="439">
        <f t="shared" si="1"/>
        <v>0</v>
      </c>
      <c r="F42" s="440"/>
      <c r="G42" s="535"/>
      <c r="H42" s="535"/>
      <c r="I42" s="535"/>
      <c r="J42" s="535"/>
      <c r="K42" s="535"/>
      <c r="L42" s="501"/>
    </row>
    <row r="43" spans="1:12">
      <c r="A43" s="501"/>
      <c r="B43" s="547" t="s">
        <v>446</v>
      </c>
      <c r="C43" s="442">
        <f>(C4+C6+C5)*2</f>
        <v>0</v>
      </c>
      <c r="D43" s="449"/>
      <c r="E43" s="439">
        <f t="shared" si="1"/>
        <v>0</v>
      </c>
      <c r="F43" s="440"/>
      <c r="G43" s="535"/>
      <c r="H43" s="535"/>
      <c r="I43" s="535"/>
      <c r="J43" s="535"/>
      <c r="K43" s="535"/>
      <c r="L43" s="501"/>
    </row>
    <row r="44" spans="1:12">
      <c r="A44" s="501"/>
      <c r="B44" s="547" t="s">
        <v>560</v>
      </c>
      <c r="C44" s="442">
        <f>(C4+C6)*C2</f>
        <v>0</v>
      </c>
      <c r="D44" s="449"/>
      <c r="E44" s="439">
        <f t="shared" si="1"/>
        <v>0</v>
      </c>
      <c r="F44" s="440"/>
      <c r="G44" s="535"/>
      <c r="H44" s="535"/>
      <c r="I44" s="535"/>
      <c r="J44" s="535"/>
      <c r="K44" s="535"/>
      <c r="L44" s="501"/>
    </row>
    <row r="45" spans="1:12">
      <c r="A45" s="501"/>
      <c r="B45" s="548" t="s">
        <v>533</v>
      </c>
      <c r="C45" s="495">
        <f>C5+C4</f>
        <v>0</v>
      </c>
      <c r="D45" s="449"/>
      <c r="E45" s="439">
        <f t="shared" si="1"/>
        <v>0</v>
      </c>
      <c r="F45" s="440"/>
      <c r="G45" s="535"/>
      <c r="H45" s="535"/>
      <c r="I45" s="535"/>
      <c r="J45" s="535"/>
      <c r="K45" s="535"/>
      <c r="L45" s="501"/>
    </row>
    <row r="46" spans="1:12">
      <c r="A46" s="501"/>
      <c r="B46" s="548" t="s">
        <v>453</v>
      </c>
      <c r="C46" s="495">
        <f>C8+C7*(C4+C5)</f>
        <v>0</v>
      </c>
      <c r="D46" s="449"/>
      <c r="E46" s="439">
        <f t="shared" si="1"/>
        <v>0</v>
      </c>
      <c r="F46" s="440"/>
      <c r="G46" s="535"/>
      <c r="H46" s="535"/>
      <c r="I46" s="535"/>
      <c r="J46" s="535"/>
      <c r="K46" s="535"/>
      <c r="L46" s="501"/>
    </row>
    <row r="47" spans="1:12">
      <c r="A47" s="501"/>
      <c r="B47" s="548" t="s">
        <v>576</v>
      </c>
      <c r="C47" s="495">
        <f>C8*C5</f>
        <v>0</v>
      </c>
      <c r="D47" s="449"/>
      <c r="E47" s="439">
        <f t="shared" si="1"/>
        <v>0</v>
      </c>
      <c r="F47" s="440"/>
      <c r="G47" s="535"/>
      <c r="H47" s="535"/>
      <c r="I47" s="535"/>
      <c r="J47" s="535"/>
      <c r="K47" s="535"/>
      <c r="L47" s="501"/>
    </row>
    <row r="48" spans="1:12">
      <c r="A48" s="501"/>
      <c r="B48" s="548" t="s">
        <v>455</v>
      </c>
      <c r="C48" s="495">
        <f>C9*C6</f>
        <v>0</v>
      </c>
      <c r="D48" s="449"/>
      <c r="E48" s="439">
        <f t="shared" si="1"/>
        <v>0</v>
      </c>
      <c r="F48" s="440"/>
      <c r="G48" s="535"/>
      <c r="H48" s="535"/>
      <c r="I48" s="535"/>
      <c r="J48" s="535"/>
      <c r="K48" s="535"/>
      <c r="L48" s="501"/>
    </row>
    <row r="49" spans="1:12">
      <c r="A49" s="501"/>
      <c r="B49" s="548" t="s">
        <v>456</v>
      </c>
      <c r="C49" s="495">
        <f>C9*C6</f>
        <v>0</v>
      </c>
      <c r="D49" s="449"/>
      <c r="E49" s="439">
        <f t="shared" si="1"/>
        <v>0</v>
      </c>
      <c r="F49" s="440"/>
      <c r="G49" s="535"/>
      <c r="H49" s="535"/>
      <c r="I49" s="535"/>
      <c r="J49" s="535"/>
      <c r="K49" s="535"/>
      <c r="L49" s="501"/>
    </row>
    <row r="50" spans="1:12">
      <c r="A50" s="501"/>
      <c r="B50" s="548" t="s">
        <v>458</v>
      </c>
      <c r="C50" s="495">
        <f>C11*C5</f>
        <v>0</v>
      </c>
      <c r="D50" s="449"/>
      <c r="E50" s="439">
        <f t="shared" si="1"/>
        <v>0</v>
      </c>
      <c r="F50" s="440"/>
      <c r="G50" s="535"/>
      <c r="H50" s="535"/>
      <c r="I50" s="535"/>
      <c r="J50" s="535"/>
      <c r="K50" s="535"/>
      <c r="L50" s="501"/>
    </row>
    <row r="51" spans="1:12">
      <c r="A51" s="501"/>
      <c r="B51" s="548" t="s">
        <v>609</v>
      </c>
      <c r="C51" s="495">
        <f>C11+C10*(C4+C5)</f>
        <v>0</v>
      </c>
      <c r="D51" s="449"/>
      <c r="E51" s="439">
        <f t="shared" si="1"/>
        <v>0</v>
      </c>
      <c r="F51" s="440"/>
      <c r="G51" s="535"/>
      <c r="H51" s="535"/>
      <c r="I51" s="535"/>
      <c r="J51" s="535"/>
      <c r="K51" s="535"/>
      <c r="L51" s="501"/>
    </row>
    <row r="52" spans="1:12">
      <c r="A52" s="501"/>
      <c r="B52" s="548" t="s">
        <v>608</v>
      </c>
      <c r="C52" s="495">
        <f>(C7+C10)*C4</f>
        <v>0</v>
      </c>
      <c r="D52" s="449"/>
      <c r="E52" s="439">
        <f t="shared" si="1"/>
        <v>0</v>
      </c>
      <c r="F52" s="440"/>
      <c r="G52" s="535"/>
      <c r="H52" s="535"/>
      <c r="I52" s="535"/>
      <c r="J52" s="535"/>
      <c r="K52" s="535"/>
      <c r="L52" s="501"/>
    </row>
    <row r="53" spans="1:12">
      <c r="A53" s="501"/>
      <c r="B53" s="548" t="s">
        <v>465</v>
      </c>
      <c r="C53" s="495">
        <f>C12*C6</f>
        <v>0</v>
      </c>
      <c r="D53" s="449"/>
      <c r="E53" s="439">
        <f t="shared" si="1"/>
        <v>0</v>
      </c>
      <c r="F53" s="440"/>
      <c r="G53" s="535"/>
      <c r="H53" s="535"/>
      <c r="I53" s="535"/>
      <c r="J53" s="535"/>
      <c r="K53" s="535"/>
      <c r="L53" s="501"/>
    </row>
    <row r="54" spans="1:12">
      <c r="A54" s="501"/>
      <c r="B54" s="201" t="s">
        <v>203</v>
      </c>
      <c r="C54" s="495">
        <f>C19</f>
        <v>0</v>
      </c>
      <c r="D54" s="818"/>
      <c r="E54" s="496">
        <f t="shared" si="1"/>
        <v>0</v>
      </c>
      <c r="F54" s="440"/>
      <c r="G54" s="535"/>
      <c r="H54" s="535"/>
      <c r="I54" s="535"/>
      <c r="J54" s="535"/>
      <c r="K54" s="535"/>
      <c r="L54" s="501"/>
    </row>
    <row r="55" spans="1:12">
      <c r="A55" s="501"/>
      <c r="B55" s="201" t="s">
        <v>206</v>
      </c>
      <c r="C55" s="495">
        <f>C18</f>
        <v>0</v>
      </c>
      <c r="D55" s="818"/>
      <c r="E55" s="496">
        <f t="shared" si="1"/>
        <v>0</v>
      </c>
      <c r="F55" s="440"/>
      <c r="G55" s="535"/>
      <c r="H55" s="535"/>
      <c r="I55" s="535"/>
      <c r="J55" s="535"/>
      <c r="K55" s="535"/>
      <c r="L55" s="501"/>
    </row>
    <row r="56" spans="1:12">
      <c r="A56" s="501"/>
      <c r="B56" s="28" t="s">
        <v>769</v>
      </c>
      <c r="C56" s="495">
        <f>C20</f>
        <v>0</v>
      </c>
      <c r="D56" s="818"/>
      <c r="E56" s="496">
        <f t="shared" si="1"/>
        <v>0</v>
      </c>
      <c r="F56" s="440"/>
      <c r="G56" s="535"/>
      <c r="H56" s="535"/>
      <c r="I56" s="535"/>
      <c r="J56" s="535"/>
      <c r="K56" s="535"/>
      <c r="L56" s="501"/>
    </row>
    <row r="57" spans="1:12" ht="12" thickBot="1">
      <c r="A57" s="501"/>
      <c r="B57" s="550" t="s">
        <v>466</v>
      </c>
      <c r="C57" s="498">
        <f>C12*C6</f>
        <v>0</v>
      </c>
      <c r="D57" s="569"/>
      <c r="E57" s="500">
        <f t="shared" si="1"/>
        <v>0</v>
      </c>
      <c r="F57" s="440"/>
      <c r="G57" s="535"/>
      <c r="H57" s="535"/>
      <c r="I57" s="535"/>
      <c r="J57" s="535"/>
      <c r="K57" s="535"/>
      <c r="L57" s="501"/>
    </row>
    <row r="58" spans="1:12" ht="13.5" thickBot="1">
      <c r="A58" s="501"/>
      <c r="B58" s="535"/>
      <c r="C58" s="535"/>
      <c r="D58" s="551" t="s">
        <v>9</v>
      </c>
      <c r="E58" s="570">
        <f>SUMIF(E24:E57,"&gt;0",E24:E57)</f>
        <v>0</v>
      </c>
      <c r="F58" s="595"/>
      <c r="G58" s="535"/>
      <c r="H58" s="549"/>
      <c r="I58" s="535"/>
      <c r="J58" s="535"/>
      <c r="K58" s="535"/>
      <c r="L58" s="501"/>
    </row>
    <row r="59" spans="1:12" ht="11.25" customHeight="1">
      <c r="A59" s="501"/>
      <c r="B59" s="535"/>
      <c r="C59" s="535"/>
      <c r="D59" s="535"/>
      <c r="E59" s="535"/>
      <c r="F59" s="535"/>
      <c r="G59" s="501"/>
      <c r="H59" s="501"/>
      <c r="I59" s="501"/>
      <c r="J59" s="501"/>
      <c r="K59" s="501"/>
      <c r="L59" s="501"/>
    </row>
    <row r="60" spans="1:12" ht="11.25" customHeight="1">
      <c r="A60" s="501"/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</row>
    <row r="61" spans="1:12" ht="11.25" customHeight="1">
      <c r="A61" s="501"/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</row>
    <row r="62" spans="1:12" ht="11.25" customHeight="1">
      <c r="A62" s="501"/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</row>
    <row r="63" spans="1:12" ht="11.25" customHeight="1">
      <c r="A63" s="501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</row>
    <row r="64" spans="1:12" ht="11.25" customHeight="1">
      <c r="A64" s="501"/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</row>
    <row r="65" spans="2:6" ht="11.25" customHeight="1">
      <c r="B65" s="501"/>
      <c r="C65" s="501"/>
      <c r="D65" s="501"/>
      <c r="E65" s="501"/>
      <c r="F65" s="501"/>
    </row>
    <row r="66" spans="2:6" ht="11.25" customHeight="1"/>
    <row r="67" spans="2:6" ht="11.25" customHeight="1"/>
    <row r="68" spans="2:6" ht="11.25" customHeight="1"/>
    <row r="69" spans="2:6" ht="11.25" customHeight="1"/>
    <row r="70" spans="2:6" ht="11.25" customHeight="1"/>
    <row r="71" spans="2:6" ht="11.25" customHeight="1"/>
    <row r="72" spans="2:6" ht="11.25" customHeight="1"/>
    <row r="73" spans="2:6" ht="11.25" customHeight="1"/>
    <row r="74" spans="2:6" ht="11.25" customHeight="1"/>
    <row r="75" spans="2:6" ht="11.25" customHeight="1"/>
    <row r="76" spans="2:6" ht="11.25" customHeight="1"/>
    <row r="77" spans="2:6" ht="12" customHeight="1"/>
    <row r="78" spans="2:6" ht="11.25" customHeight="1"/>
    <row r="79" spans="2:6" ht="11.25" customHeight="1"/>
    <row r="80" spans="2:6" ht="11.25" customHeight="1"/>
    <row r="81" ht="11.25" customHeight="1"/>
    <row r="82" ht="11.25" customHeight="1"/>
    <row r="83" ht="11.25" customHeight="1"/>
  </sheetData>
  <sheetProtection algorithmName="SHA-512" hashValue="fc69VS5Qo9OfHl0/zPLK7dgIjMAW9F4PF4OHBzjbTrCcWr6JhrzLH773Zz4aghqoN4k+WL+JOfXSbuPG6VEaYA==" saltValue="tiJ1POSgUtGV1ckQ1M9D1w==" spinCount="100000" sheet="1"/>
  <mergeCells count="8">
    <mergeCell ref="B1:D1"/>
    <mergeCell ref="D2:F3"/>
    <mergeCell ref="D18:F18"/>
    <mergeCell ref="D19:F19"/>
    <mergeCell ref="D20:F20"/>
    <mergeCell ref="D4:F6"/>
    <mergeCell ref="F7:F12"/>
    <mergeCell ref="F16:F17"/>
  </mergeCells>
  <conditionalFormatting sqref="I3:I21">
    <cfRule type="cellIs" dxfId="462" priority="11" operator="equal">
      <formula>"ДА"</formula>
    </cfRule>
    <cfRule type="cellIs" dxfId="461" priority="12" operator="equal">
      <formula>"НЕТ"</formula>
    </cfRule>
  </conditionalFormatting>
  <conditionalFormatting sqref="I3:I21">
    <cfRule type="colorScale" priority="13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3:K21">
    <cfRule type="cellIs" dxfId="460" priority="14" operator="greaterThan">
      <formula>0</formula>
    </cfRule>
  </conditionalFormatting>
  <conditionalFormatting sqref="C13">
    <cfRule type="cellIs" dxfId="459" priority="10" operator="greaterThan">
      <formula>0</formula>
    </cfRule>
  </conditionalFormatting>
  <conditionalFormatting sqref="C2:C13 C15:C17">
    <cfRule type="cellIs" dxfId="458" priority="9" operator="greaterThan">
      <formula>0</formula>
    </cfRule>
  </conditionalFormatting>
  <conditionalFormatting sqref="C57:E57 C25:E53">
    <cfRule type="cellIs" dxfId="457" priority="8" operator="greaterThan">
      <formula>0</formula>
    </cfRule>
  </conditionalFormatting>
  <conditionalFormatting sqref="E58">
    <cfRule type="cellIs" dxfId="456" priority="5" operator="greaterThan">
      <formula>0</formula>
    </cfRule>
    <cfRule type="cellIs" dxfId="455" priority="6" operator="greaterThan">
      <formula>0</formula>
    </cfRule>
    <cfRule type="cellIs" dxfId="454" priority="7" operator="greaterThan">
      <formula>0</formula>
    </cfRule>
  </conditionalFormatting>
  <conditionalFormatting sqref="C18:C20">
    <cfRule type="cellIs" dxfId="453" priority="4" operator="greaterThan">
      <formula>0</formula>
    </cfRule>
  </conditionalFormatting>
  <conditionalFormatting sqref="C54:C56">
    <cfRule type="cellIs" dxfId="452" priority="2" operator="greaterThan">
      <formula>0</formula>
    </cfRule>
  </conditionalFormatting>
  <conditionalFormatting sqref="C54:E56">
    <cfRule type="cellIs" dxfId="451" priority="3" operator="greaterThan">
      <formula>0</formula>
    </cfRule>
  </conditionalFormatting>
  <conditionalFormatting sqref="C14">
    <cfRule type="cellIs" dxfId="45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83"/>
  <sheetViews>
    <sheetView showGridLines="0" showRowColHeaders="0" workbookViewId="0">
      <pane ySplit="22" topLeftCell="A23" activePane="bottomLeft" state="frozen"/>
      <selection pane="bottomLeft" activeCell="C58" sqref="C58"/>
    </sheetView>
  </sheetViews>
  <sheetFormatPr defaultRowHeight="11.25"/>
  <cols>
    <col min="2" max="2" width="51.1640625" customWidth="1"/>
    <col min="3" max="3" width="13.6640625" customWidth="1"/>
    <col min="4" max="4" width="16.6640625" customWidth="1"/>
    <col min="5" max="5" width="18.33203125" customWidth="1"/>
    <col min="6" max="6" width="26.6640625" customWidth="1"/>
    <col min="7" max="7" width="4.5" customWidth="1"/>
    <col min="8" max="8" width="48.1640625" customWidth="1"/>
    <col min="9" max="9" width="5.6640625" customWidth="1"/>
  </cols>
  <sheetData>
    <row r="1" spans="1:16" ht="54" customHeight="1" thickBot="1">
      <c r="A1" s="501"/>
      <c r="B1" s="1045"/>
      <c r="C1" s="1046"/>
      <c r="D1" s="1046"/>
      <c r="E1" s="1045"/>
      <c r="F1" s="1046"/>
      <c r="G1" s="1046"/>
      <c r="H1" s="1045"/>
      <c r="I1" s="1046"/>
      <c r="J1" s="1046"/>
      <c r="K1" s="1045"/>
      <c r="L1" s="1046"/>
      <c r="M1" s="1046"/>
      <c r="N1" s="984"/>
      <c r="O1" s="985"/>
      <c r="P1" s="985"/>
    </row>
    <row r="2" spans="1:16" ht="11.25" customHeight="1" thickBot="1">
      <c r="A2" s="501"/>
      <c r="B2" s="503" t="s">
        <v>10</v>
      </c>
      <c r="C2" s="554">
        <v>0</v>
      </c>
      <c r="D2" s="1047" t="s">
        <v>675</v>
      </c>
      <c r="E2" s="1048"/>
      <c r="F2" s="1049"/>
      <c r="G2" s="580"/>
      <c r="H2" s="505" t="s">
        <v>565</v>
      </c>
      <c r="I2" s="506" t="s">
        <v>684</v>
      </c>
      <c r="J2" s="572" t="s">
        <v>4</v>
      </c>
      <c r="K2" s="573" t="s">
        <v>8</v>
      </c>
      <c r="L2" s="501"/>
      <c r="M2" s="501"/>
    </row>
    <row r="3" spans="1:16" ht="12.75" thickBot="1">
      <c r="A3" s="501"/>
      <c r="B3" s="508" t="s">
        <v>1</v>
      </c>
      <c r="C3" s="555">
        <v>0</v>
      </c>
      <c r="D3" s="1050"/>
      <c r="E3" s="1051"/>
      <c r="F3" s="1052"/>
      <c r="G3" s="501"/>
      <c r="H3" s="509" t="s">
        <v>450</v>
      </c>
      <c r="I3" s="510" t="str">
        <f>IF(AND($C$7+$C$8=1,$C$9+$C$10+$C$11+$C$12=0,$C$13=2),"ДА","НЕТ")</f>
        <v>НЕТ</v>
      </c>
      <c r="J3" s="413"/>
      <c r="K3" s="414">
        <f>IF(I3="ДА",($C$4+$C$5+$C$6)*J3,0)</f>
        <v>0</v>
      </c>
      <c r="L3" s="501"/>
      <c r="M3" s="501"/>
    </row>
    <row r="4" spans="1:16" ht="12" customHeight="1">
      <c r="A4" s="501"/>
      <c r="B4" s="515" t="s">
        <v>610</v>
      </c>
      <c r="C4" s="558">
        <v>0</v>
      </c>
      <c r="D4" s="1047" t="s">
        <v>677</v>
      </c>
      <c r="E4" s="1048"/>
      <c r="F4" s="1070"/>
      <c r="G4" s="582"/>
      <c r="H4" s="512" t="s">
        <v>451</v>
      </c>
      <c r="I4" s="510" t="str">
        <f>IF(AND($C$7+$C$8=1,$C$9+$C$10+$C$11+$C$12=0,$C$13=2),"ДА","НЕТ")</f>
        <v>НЕТ</v>
      </c>
      <c r="J4" s="491"/>
      <c r="K4" s="414">
        <f t="shared" ref="K4:K21" si="0">IF(I4="ДА",($C$4+$C$5+$C$6)*J4,0)</f>
        <v>0</v>
      </c>
      <c r="L4" s="501"/>
      <c r="M4" s="501"/>
    </row>
    <row r="5" spans="1:16" ht="12">
      <c r="A5" s="501"/>
      <c r="B5" s="515" t="s">
        <v>475</v>
      </c>
      <c r="C5" s="558">
        <v>0</v>
      </c>
      <c r="D5" s="1067"/>
      <c r="E5" s="1053"/>
      <c r="F5" s="1071"/>
      <c r="G5" s="501"/>
      <c r="H5" s="512" t="s">
        <v>452</v>
      </c>
      <c r="I5" s="510" t="str">
        <f>IF(AND($C$7+$C$8=1,$C$9+$C$10+$C$11+$C$12=0,$C$13=2),"ДА","НЕТ")</f>
        <v>НЕТ</v>
      </c>
      <c r="J5" s="491"/>
      <c r="K5" s="414">
        <f t="shared" si="0"/>
        <v>0</v>
      </c>
      <c r="L5" s="501"/>
      <c r="M5" s="501"/>
    </row>
    <row r="6" spans="1:16" ht="12.75" thickBot="1">
      <c r="A6" s="501"/>
      <c r="B6" s="610" t="s">
        <v>471</v>
      </c>
      <c r="C6" s="609">
        <v>0</v>
      </c>
      <c r="D6" s="1067"/>
      <c r="E6" s="1053"/>
      <c r="F6" s="1071"/>
      <c r="G6" s="501"/>
      <c r="H6" s="514" t="s">
        <v>454</v>
      </c>
      <c r="I6" s="510" t="str">
        <f>IF(AND($C$7+$C$8=1,$C$9+$C$10+$C$11+$C$12=0,$C$13=3),"ДА","НЕТ")</f>
        <v>НЕТ</v>
      </c>
      <c r="J6" s="417"/>
      <c r="K6" s="414">
        <f t="shared" si="0"/>
        <v>0</v>
      </c>
      <c r="L6" s="501"/>
      <c r="M6" s="501"/>
    </row>
    <row r="7" spans="1:16" ht="12" customHeight="1">
      <c r="A7" s="501"/>
      <c r="B7" s="503" t="s">
        <v>601</v>
      </c>
      <c r="C7" s="560">
        <v>0</v>
      </c>
      <c r="D7" s="516" t="s">
        <v>365</v>
      </c>
      <c r="E7" s="517" t="s">
        <v>327</v>
      </c>
      <c r="F7" s="1055" t="s">
        <v>676</v>
      </c>
      <c r="G7" s="501"/>
      <c r="H7" s="512" t="s">
        <v>569</v>
      </c>
      <c r="I7" s="510" t="str">
        <f>IF(AND($C$9=1,$C$7+$C$8+$C$10+$C$11+$C$12=0,$C$13=1),"ДА","НЕТ")</f>
        <v>НЕТ</v>
      </c>
      <c r="J7" s="491"/>
      <c r="K7" s="414">
        <f t="shared" si="0"/>
        <v>0</v>
      </c>
      <c r="L7" s="501"/>
      <c r="M7" s="501"/>
    </row>
    <row r="8" spans="1:16" ht="12">
      <c r="A8" s="501"/>
      <c r="B8" s="515" t="s">
        <v>570</v>
      </c>
      <c r="C8" s="558">
        <v>0</v>
      </c>
      <c r="D8" s="520" t="s">
        <v>365</v>
      </c>
      <c r="E8" s="521" t="s">
        <v>327</v>
      </c>
      <c r="F8" s="1056"/>
      <c r="G8" s="619"/>
      <c r="H8" s="514" t="s">
        <v>566</v>
      </c>
      <c r="I8" s="510" t="str">
        <f>IF(AND($C$9=1,$C$7+$C$8+$C$10+$C$11+$C$12=0,$C$13=3),"ДА","НЕТ")</f>
        <v>НЕТ</v>
      </c>
      <c r="J8" s="417"/>
      <c r="K8" s="414">
        <f t="shared" si="0"/>
        <v>0</v>
      </c>
      <c r="L8" s="501"/>
      <c r="M8" s="501"/>
    </row>
    <row r="9" spans="1:16" ht="12">
      <c r="A9" s="501"/>
      <c r="B9" s="513" t="s">
        <v>571</v>
      </c>
      <c r="C9" s="557">
        <v>0</v>
      </c>
      <c r="D9" s="520" t="s">
        <v>365</v>
      </c>
      <c r="E9" s="520" t="s">
        <v>327</v>
      </c>
      <c r="F9" s="1056"/>
      <c r="G9" s="619"/>
      <c r="H9" s="514" t="s">
        <v>567</v>
      </c>
      <c r="I9" s="510" t="str">
        <f>IF(AND($C$9=1,$C$7+$C$8+$C$10+$C$11+$C$12=0,$C$13=2),"ДА","НЕТ")</f>
        <v>НЕТ</v>
      </c>
      <c r="J9" s="417"/>
      <c r="K9" s="414">
        <f t="shared" si="0"/>
        <v>0</v>
      </c>
      <c r="L9" s="501"/>
      <c r="M9" s="501"/>
    </row>
    <row r="10" spans="1:16" ht="12">
      <c r="A10" s="501"/>
      <c r="B10" s="515" t="s">
        <v>602</v>
      </c>
      <c r="C10" s="558">
        <v>0</v>
      </c>
      <c r="D10" s="518" t="s">
        <v>365</v>
      </c>
      <c r="E10" s="519" t="s">
        <v>327</v>
      </c>
      <c r="F10" s="1056"/>
      <c r="G10" s="619"/>
      <c r="H10" s="514" t="s">
        <v>568</v>
      </c>
      <c r="I10" s="510" t="str">
        <f>IF(AND($C$9=1,$C$7+$C$8+$C$10+$C$11+$C$12=0,$C$13=2),"ДА","НЕТ")</f>
        <v>НЕТ</v>
      </c>
      <c r="J10" s="417"/>
      <c r="K10" s="414">
        <f t="shared" si="0"/>
        <v>0</v>
      </c>
      <c r="L10" s="501"/>
      <c r="M10" s="501"/>
    </row>
    <row r="11" spans="1:16" ht="12">
      <c r="A11" s="501"/>
      <c r="B11" s="515" t="s">
        <v>572</v>
      </c>
      <c r="C11" s="558">
        <v>0</v>
      </c>
      <c r="D11" s="520" t="s">
        <v>365</v>
      </c>
      <c r="E11" s="521" t="s">
        <v>327</v>
      </c>
      <c r="F11" s="1056"/>
      <c r="G11" s="501"/>
      <c r="H11" s="514" t="s">
        <v>574</v>
      </c>
      <c r="I11" s="510" t="str">
        <f>IF(AND($C$9=1,$C$7+$C$8+$C$10+$C$11+$C$12=0,$C$13=2),"ДА","НЕТ")</f>
        <v>НЕТ</v>
      </c>
      <c r="J11" s="417"/>
      <c r="K11" s="414">
        <f t="shared" si="0"/>
        <v>0</v>
      </c>
      <c r="L11" s="501"/>
      <c r="M11" s="501"/>
    </row>
    <row r="12" spans="1:16" ht="12.75" thickBot="1">
      <c r="A12" s="501"/>
      <c r="B12" s="508" t="s">
        <v>573</v>
      </c>
      <c r="C12" s="559">
        <v>0</v>
      </c>
      <c r="D12" s="583" t="s">
        <v>365</v>
      </c>
      <c r="E12" s="584" t="s">
        <v>327</v>
      </c>
      <c r="F12" s="1057"/>
      <c r="G12" s="501"/>
      <c r="H12" s="514" t="s">
        <v>706</v>
      </c>
      <c r="I12" s="510" t="str">
        <f>IF(AND($C$10=1,$C$8+$C$9+$C$7+$C$11+$C$12=0,$C$13=2),"ДА","НЕТ")</f>
        <v>НЕТ</v>
      </c>
      <c r="J12" s="417"/>
      <c r="K12" s="414">
        <f t="shared" si="0"/>
        <v>0</v>
      </c>
      <c r="L12" s="501"/>
      <c r="M12" s="501"/>
    </row>
    <row r="13" spans="1:16" ht="12.75" thickBot="1">
      <c r="A13" s="501"/>
      <c r="B13" s="610" t="s">
        <v>669</v>
      </c>
      <c r="C13" s="609">
        <v>0</v>
      </c>
      <c r="D13" s="611" t="s">
        <v>699</v>
      </c>
      <c r="E13" s="612" t="s">
        <v>700</v>
      </c>
      <c r="F13" s="613" t="s">
        <v>701</v>
      </c>
      <c r="G13" s="501"/>
      <c r="H13" s="514" t="s">
        <v>598</v>
      </c>
      <c r="I13" s="510" t="str">
        <f>IF(AND($C$10=1,$C$8+$C$9+$C$7+$C$11+$C$12=0,$C$13=2),"ДА","НЕТ")</f>
        <v>НЕТ</v>
      </c>
      <c r="J13" s="417"/>
      <c r="K13" s="414">
        <f t="shared" si="0"/>
        <v>0</v>
      </c>
      <c r="L13" s="501"/>
      <c r="M13" s="501"/>
    </row>
    <row r="14" spans="1:16" ht="12" customHeight="1">
      <c r="A14" s="501"/>
      <c r="B14" s="503" t="s">
        <v>476</v>
      </c>
      <c r="C14" s="560">
        <v>0</v>
      </c>
      <c r="D14" s="516" t="s">
        <v>365</v>
      </c>
      <c r="E14" s="517" t="s">
        <v>327</v>
      </c>
      <c r="F14" s="1068" t="s">
        <v>677</v>
      </c>
      <c r="G14" s="501"/>
      <c r="H14" s="514" t="s">
        <v>599</v>
      </c>
      <c r="I14" s="510" t="str">
        <f>IF(AND($C$10=1,$C$8+$C$9+$C$7+$C$11+$C$12=0,$C$13=1),"ДА","НЕТ")</f>
        <v>НЕТ</v>
      </c>
      <c r="J14" s="417"/>
      <c r="K14" s="414">
        <f t="shared" si="0"/>
        <v>0</v>
      </c>
      <c r="L14" s="501"/>
      <c r="M14" s="501"/>
    </row>
    <row r="15" spans="1:16" ht="12.75" thickBot="1">
      <c r="A15" s="501"/>
      <c r="B15" s="508" t="s">
        <v>477</v>
      </c>
      <c r="C15" s="559">
        <v>0</v>
      </c>
      <c r="D15" s="583" t="s">
        <v>365</v>
      </c>
      <c r="E15" s="584" t="s">
        <v>327</v>
      </c>
      <c r="F15" s="1069"/>
      <c r="G15" s="501"/>
      <c r="H15" s="512" t="s">
        <v>457</v>
      </c>
      <c r="I15" s="510" t="str">
        <f>IF(AND($C$11=1,$C$7+$C$9+$C$10+$C$8+$C$12=0,$C$13=2),"ДА","НЕТ")</f>
        <v>НЕТ</v>
      </c>
      <c r="J15" s="420"/>
      <c r="K15" s="414">
        <f t="shared" si="0"/>
        <v>0</v>
      </c>
      <c r="L15" s="501"/>
      <c r="M15" s="501"/>
    </row>
    <row r="16" spans="1:16" ht="12.75" thickBot="1">
      <c r="A16" s="501"/>
      <c r="B16" s="536" t="s">
        <v>483</v>
      </c>
      <c r="C16" s="562">
        <v>0</v>
      </c>
      <c r="D16" s="620" t="s">
        <v>488</v>
      </c>
      <c r="E16" s="524" t="s">
        <v>489</v>
      </c>
      <c r="F16" s="565"/>
      <c r="G16" s="501"/>
      <c r="H16" s="509" t="s">
        <v>460</v>
      </c>
      <c r="I16" s="510" t="str">
        <f>IF(AND($C$11=1,$C$7+$C$9+$C$10+$C$8+$C$12=0,$C$13=1),"ДА","НЕТ")</f>
        <v>НЕТ</v>
      </c>
      <c r="J16" s="420"/>
      <c r="K16" s="414">
        <f t="shared" si="0"/>
        <v>0</v>
      </c>
      <c r="L16" s="501"/>
      <c r="M16" s="501"/>
    </row>
    <row r="17" spans="1:13" ht="12">
      <c r="A17" s="585"/>
      <c r="B17" s="503" t="s">
        <v>205</v>
      </c>
      <c r="C17" s="560">
        <v>0</v>
      </c>
      <c r="D17" s="1058" t="s">
        <v>766</v>
      </c>
      <c r="E17" s="1059"/>
      <c r="F17" s="1060"/>
      <c r="G17" s="501"/>
      <c r="H17" s="509" t="s">
        <v>461</v>
      </c>
      <c r="I17" s="510" t="str">
        <f>IF(AND($C$11=1,$C$7+$C$9+$C$10+$C$8+$C$12=0,$C$13=3),"ДА","НЕТ")</f>
        <v>НЕТ</v>
      </c>
      <c r="J17" s="420"/>
      <c r="K17" s="414">
        <f t="shared" si="0"/>
        <v>0</v>
      </c>
      <c r="L17" s="501"/>
      <c r="M17" s="501"/>
    </row>
    <row r="18" spans="1:13" ht="12">
      <c r="A18" s="585"/>
      <c r="B18" s="513" t="s">
        <v>204</v>
      </c>
      <c r="C18" s="557">
        <v>0</v>
      </c>
      <c r="D18" s="1061" t="s">
        <v>767</v>
      </c>
      <c r="E18" s="1062"/>
      <c r="F18" s="1063"/>
      <c r="G18" s="501"/>
      <c r="H18" s="509" t="s">
        <v>462</v>
      </c>
      <c r="I18" s="510" t="str">
        <f>IF(AND($C$12=1,$C$7+$C$8+$C$9+$C$10+$C$11=0,$C$13=1),"ДА","НЕТ")</f>
        <v>НЕТ</v>
      </c>
      <c r="J18" s="420"/>
      <c r="K18" s="414">
        <f t="shared" si="0"/>
        <v>0</v>
      </c>
      <c r="L18" s="501"/>
      <c r="M18" s="501"/>
    </row>
    <row r="19" spans="1:13" ht="12.75" thickBot="1">
      <c r="A19" s="585"/>
      <c r="B19" s="508" t="s">
        <v>197</v>
      </c>
      <c r="C19" s="559">
        <v>0</v>
      </c>
      <c r="D19" s="1064" t="s">
        <v>768</v>
      </c>
      <c r="E19" s="1065"/>
      <c r="F19" s="1066"/>
      <c r="G19" s="501"/>
      <c r="H19" s="512" t="s">
        <v>463</v>
      </c>
      <c r="I19" s="510" t="str">
        <f>IF(AND($C$12=1,$C$7+$C$8+$C$9+$C$10+$C$11=0,$C$13=1),"ДА","НЕТ")</f>
        <v>НЕТ</v>
      </c>
      <c r="J19" s="420"/>
      <c r="K19" s="414">
        <f t="shared" si="0"/>
        <v>0</v>
      </c>
      <c r="L19" s="501"/>
      <c r="M19" s="501"/>
    </row>
    <row r="20" spans="1:13" ht="12">
      <c r="A20" s="585"/>
      <c r="B20" s="538"/>
      <c r="C20" s="538"/>
      <c r="D20" s="538"/>
      <c r="E20" s="537"/>
      <c r="F20" s="535"/>
      <c r="G20" s="501"/>
      <c r="H20" s="509" t="s">
        <v>467</v>
      </c>
      <c r="I20" s="510" t="str">
        <f>IF(AND($C$12=1,$C$7+$C$8+$C$9+$C$10+$C$11=0,$C$13=2),"ДА","НЕТ")</f>
        <v>НЕТ</v>
      </c>
      <c r="J20" s="420"/>
      <c r="K20" s="414">
        <f t="shared" si="0"/>
        <v>0</v>
      </c>
      <c r="L20" s="501"/>
      <c r="M20" s="501"/>
    </row>
    <row r="21" spans="1:13" ht="12.75" thickBot="1">
      <c r="A21" s="585"/>
      <c r="B21" s="538"/>
      <c r="C21" s="538"/>
      <c r="D21" s="538"/>
      <c r="E21" s="537"/>
      <c r="F21" s="535"/>
      <c r="G21" s="501"/>
      <c r="H21" s="533" t="s">
        <v>468</v>
      </c>
      <c r="I21" s="534" t="str">
        <f>IF(AND($C$12=1,$C$7+$C$8+$C$9+$C$10+$C$11=0,$C$13=2),"ДА","НЕТ")</f>
        <v>НЕТ</v>
      </c>
      <c r="J21" s="427"/>
      <c r="K21" s="571">
        <f t="shared" si="0"/>
        <v>0</v>
      </c>
      <c r="L21" s="501"/>
      <c r="M21" s="501"/>
    </row>
    <row r="22" spans="1:13" ht="12.75">
      <c r="A22" s="501"/>
      <c r="B22" s="540" t="s">
        <v>5</v>
      </c>
      <c r="C22" s="541" t="s">
        <v>0</v>
      </c>
      <c r="D22" s="542" t="s">
        <v>4</v>
      </c>
      <c r="E22" s="543" t="s">
        <v>8</v>
      </c>
      <c r="F22" s="537"/>
      <c r="G22" s="501"/>
      <c r="H22" s="501"/>
      <c r="I22" s="501"/>
      <c r="J22" s="501"/>
      <c r="K22" s="501"/>
      <c r="L22" s="501"/>
      <c r="M22" s="501"/>
    </row>
    <row r="23" spans="1:13">
      <c r="A23" s="501"/>
      <c r="B23" s="545" t="s">
        <v>478</v>
      </c>
      <c r="C23" s="437">
        <f>C14*2*(C4+C5+C6)</f>
        <v>0</v>
      </c>
      <c r="D23" s="449"/>
      <c r="E23" s="439">
        <f>C23*D23</f>
        <v>0</v>
      </c>
      <c r="F23" s="535"/>
      <c r="G23" s="501"/>
      <c r="H23" s="501"/>
      <c r="I23" s="501"/>
      <c r="J23" s="501"/>
      <c r="K23" s="501"/>
      <c r="L23" s="501"/>
      <c r="M23" s="501"/>
    </row>
    <row r="24" spans="1:13">
      <c r="A24" s="501"/>
      <c r="B24" s="545" t="s">
        <v>479</v>
      </c>
      <c r="C24" s="437">
        <f>C15*(C4+C5+C6)</f>
        <v>0</v>
      </c>
      <c r="D24" s="449"/>
      <c r="E24" s="439">
        <f t="shared" ref="E24:E57" si="1">C24*D24</f>
        <v>0</v>
      </c>
      <c r="F24" s="538"/>
      <c r="G24" s="501"/>
      <c r="H24" s="501"/>
      <c r="I24" s="501"/>
      <c r="J24" s="501"/>
      <c r="K24" s="501"/>
      <c r="L24" s="501"/>
      <c r="M24" s="501"/>
    </row>
    <row r="25" spans="1:13">
      <c r="A25" s="501"/>
      <c r="B25" s="547" t="s">
        <v>559</v>
      </c>
      <c r="C25" s="442">
        <f>IF(AND((C4+C5+C6)&gt;0.9,C16=0,C2&lt;=1),(C4+C5+C6)*2,IF(AND((C4+C5+C6)&gt;0.9,C16=0,C2&lt;=1.5),(C4+C5+C6)*3,IF(AND((C4+C5+C6)&gt;0.9,C16=0,C2&lt;=2),(C4+C5+C6)*4,IF(AND((C4+C5+C6)&gt;0.9,C16=0,C2&lt;=2.5),(C4+C5+C6)*5,IF(AND((C4+C5+C6)&gt;0.9,C16=0,C2&lt;=3),(C4+C5+C6)*6,IF(AND((C4+C5+C6)&gt;0.9,C16=0,C2&lt;=3.5),(C4+C5+C6)*7,IF(AND((C4+C5+C6)&gt;0.9,C16=0,C2&lt;=4),(C4+C5+C6)*8,IF(AND((C4+C5+C6)&gt;0.9,C16=0,C2&lt;=4.5),(C4+C5+C6)*9,IF(AND((C4+C5+C6)&gt;0.9,C16=0,C2&lt;=5),(C4+C5+C6)*10,0)))))))))</f>
        <v>0</v>
      </c>
      <c r="D25" s="449"/>
      <c r="E25" s="439">
        <f t="shared" si="1"/>
        <v>0</v>
      </c>
      <c r="F25" s="535"/>
      <c r="G25" s="501"/>
      <c r="H25" s="501"/>
      <c r="I25" s="501"/>
      <c r="J25" s="501"/>
      <c r="K25" s="501"/>
      <c r="L25" s="501"/>
      <c r="M25" s="501"/>
    </row>
    <row r="26" spans="1:13">
      <c r="A26" s="501"/>
      <c r="B26" s="547" t="s">
        <v>801</v>
      </c>
      <c r="C26" s="442">
        <f>(C4+C5+C6)*2</f>
        <v>0</v>
      </c>
      <c r="D26" s="449"/>
      <c r="E26" s="439">
        <f t="shared" si="1"/>
        <v>0</v>
      </c>
      <c r="F26" s="535"/>
      <c r="G26" s="501"/>
      <c r="H26" s="501"/>
      <c r="I26" s="501"/>
      <c r="J26" s="501"/>
      <c r="K26" s="501"/>
      <c r="L26" s="501"/>
      <c r="M26" s="501"/>
    </row>
    <row r="27" spans="1:13">
      <c r="A27" s="501"/>
      <c r="B27" s="547" t="s">
        <v>556</v>
      </c>
      <c r="C27" s="442">
        <f>(C4+C6+C5)*C2</f>
        <v>0</v>
      </c>
      <c r="D27" s="449"/>
      <c r="E27" s="439">
        <f t="shared" si="1"/>
        <v>0</v>
      </c>
      <c r="F27" s="537"/>
      <c r="G27" s="501"/>
      <c r="H27" s="501"/>
      <c r="I27" s="501"/>
      <c r="J27" s="501"/>
      <c r="K27" s="501"/>
      <c r="L27" s="501"/>
      <c r="M27" s="501"/>
    </row>
    <row r="28" spans="1:13">
      <c r="A28" s="501"/>
      <c r="B28" s="545" t="s">
        <v>553</v>
      </c>
      <c r="C28" s="437">
        <f>C5*C2</f>
        <v>0</v>
      </c>
      <c r="D28" s="449"/>
      <c r="E28" s="439">
        <f t="shared" si="1"/>
        <v>0</v>
      </c>
      <c r="F28" s="535"/>
      <c r="G28" s="501"/>
      <c r="H28" s="501"/>
      <c r="I28" s="501"/>
      <c r="J28" s="501"/>
      <c r="K28" s="501"/>
      <c r="L28" s="501"/>
      <c r="M28" s="501"/>
    </row>
    <row r="29" spans="1:13">
      <c r="A29" s="501"/>
      <c r="B29" s="547" t="s">
        <v>480</v>
      </c>
      <c r="C29" s="442">
        <f>(C14+C15)*C2*(C4+C5+C6)</f>
        <v>0</v>
      </c>
      <c r="D29" s="449"/>
      <c r="E29" s="439">
        <f t="shared" si="1"/>
        <v>0</v>
      </c>
      <c r="F29" s="535"/>
      <c r="G29" s="501"/>
      <c r="H29" s="501"/>
      <c r="I29" s="501"/>
      <c r="J29" s="501"/>
      <c r="K29" s="501"/>
      <c r="L29" s="501"/>
      <c r="M29" s="501"/>
    </row>
    <row r="30" spans="1:13">
      <c r="A30" s="501"/>
      <c r="B30" s="547" t="s">
        <v>481</v>
      </c>
      <c r="C30" s="442">
        <f>C15*C2*(C4+C5+C6)</f>
        <v>0</v>
      </c>
      <c r="D30" s="449"/>
      <c r="E30" s="439">
        <f t="shared" si="1"/>
        <v>0</v>
      </c>
      <c r="F30" s="538"/>
      <c r="G30" s="501"/>
      <c r="H30" s="501"/>
      <c r="I30" s="501"/>
      <c r="J30" s="501"/>
      <c r="K30" s="501"/>
      <c r="L30" s="501"/>
      <c r="M30" s="501"/>
    </row>
    <row r="31" spans="1:13">
      <c r="A31" s="501"/>
      <c r="B31" s="547" t="s">
        <v>605</v>
      </c>
      <c r="C31" s="442">
        <f>C4*C2</f>
        <v>0</v>
      </c>
      <c r="D31" s="449"/>
      <c r="E31" s="439">
        <f>C31*D31</f>
        <v>0</v>
      </c>
      <c r="F31" s="538"/>
      <c r="G31" s="501"/>
      <c r="H31" s="501"/>
      <c r="I31" s="501"/>
      <c r="J31" s="501"/>
      <c r="K31" s="501"/>
      <c r="L31" s="501"/>
      <c r="M31" s="501"/>
    </row>
    <row r="32" spans="1:13">
      <c r="A32" s="501"/>
      <c r="B32" s="545" t="s">
        <v>530</v>
      </c>
      <c r="C32" s="442">
        <f>C2*C5</f>
        <v>0</v>
      </c>
      <c r="D32" s="449"/>
      <c r="E32" s="439">
        <f t="shared" si="1"/>
        <v>0</v>
      </c>
      <c r="F32" s="538"/>
      <c r="G32" s="501"/>
      <c r="H32" s="501"/>
      <c r="I32" s="501"/>
      <c r="J32" s="501"/>
      <c r="K32" s="501"/>
      <c r="L32" s="501"/>
      <c r="M32" s="501"/>
    </row>
    <row r="33" spans="1:13">
      <c r="A33" s="501"/>
      <c r="B33" s="545" t="s">
        <v>529</v>
      </c>
      <c r="C33" s="437">
        <f>C2*C6</f>
        <v>0</v>
      </c>
      <c r="D33" s="449"/>
      <c r="E33" s="439">
        <f t="shared" si="1"/>
        <v>0</v>
      </c>
      <c r="F33" s="538"/>
      <c r="G33" s="501"/>
      <c r="H33" s="501"/>
      <c r="I33" s="501"/>
      <c r="J33" s="501"/>
      <c r="K33" s="501"/>
      <c r="L33" s="501"/>
      <c r="M33" s="501"/>
    </row>
    <row r="34" spans="1:13">
      <c r="A34" s="501"/>
      <c r="B34" s="547" t="s">
        <v>558</v>
      </c>
      <c r="C34" s="442">
        <f>C6+C5+C4</f>
        <v>0</v>
      </c>
      <c r="D34" s="449"/>
      <c r="E34" s="439">
        <f t="shared" si="1"/>
        <v>0</v>
      </c>
      <c r="F34" s="535"/>
      <c r="G34" s="501"/>
      <c r="H34" s="501"/>
      <c r="I34" s="501"/>
      <c r="J34" s="501"/>
      <c r="K34" s="501"/>
      <c r="L34" s="501"/>
      <c r="M34" s="501"/>
    </row>
    <row r="35" spans="1:13">
      <c r="A35" s="501"/>
      <c r="B35" s="547" t="s">
        <v>554</v>
      </c>
      <c r="C35" s="442">
        <f>C6</f>
        <v>0</v>
      </c>
      <c r="D35" s="449"/>
      <c r="E35" s="439">
        <f t="shared" si="1"/>
        <v>0</v>
      </c>
      <c r="F35" s="535"/>
      <c r="G35" s="501"/>
      <c r="H35" s="501"/>
      <c r="I35" s="501"/>
      <c r="J35" s="501"/>
      <c r="K35" s="501"/>
      <c r="L35" s="501"/>
      <c r="M35" s="501"/>
    </row>
    <row r="36" spans="1:13">
      <c r="A36" s="501"/>
      <c r="B36" s="547" t="s">
        <v>445</v>
      </c>
      <c r="C36" s="442">
        <f>C5</f>
        <v>0</v>
      </c>
      <c r="D36" s="449"/>
      <c r="E36" s="439">
        <f t="shared" si="1"/>
        <v>0</v>
      </c>
      <c r="F36" s="535"/>
      <c r="G36" s="501"/>
      <c r="H36" s="501"/>
      <c r="I36" s="501"/>
      <c r="J36" s="501"/>
      <c r="K36" s="501"/>
      <c r="L36" s="501"/>
      <c r="M36" s="501"/>
    </row>
    <row r="37" spans="1:13">
      <c r="A37" s="501"/>
      <c r="B37" s="547" t="s">
        <v>560</v>
      </c>
      <c r="C37" s="442">
        <f>(C4+C6)*C2</f>
        <v>0</v>
      </c>
      <c r="D37" s="449"/>
      <c r="E37" s="439">
        <f t="shared" si="1"/>
        <v>0</v>
      </c>
      <c r="F37" s="535"/>
      <c r="G37" s="501"/>
      <c r="H37" s="501"/>
      <c r="I37" s="501"/>
      <c r="J37" s="501"/>
      <c r="K37" s="501"/>
      <c r="L37" s="501"/>
      <c r="M37" s="501"/>
    </row>
    <row r="38" spans="1:13">
      <c r="A38" s="501"/>
      <c r="B38" s="547" t="s">
        <v>446</v>
      </c>
      <c r="C38" s="442">
        <f>(C4+C6+C5)*4</f>
        <v>0</v>
      </c>
      <c r="D38" s="449"/>
      <c r="E38" s="439">
        <f t="shared" si="1"/>
        <v>0</v>
      </c>
      <c r="F38" s="535"/>
      <c r="G38" s="501"/>
      <c r="H38" s="501"/>
      <c r="I38" s="501"/>
      <c r="J38" s="501"/>
      <c r="K38" s="501"/>
      <c r="L38" s="501"/>
      <c r="M38" s="501"/>
    </row>
    <row r="39" spans="1:13">
      <c r="A39" s="501"/>
      <c r="B39" s="548" t="s">
        <v>533</v>
      </c>
      <c r="C39" s="495">
        <f>C5+C4</f>
        <v>0</v>
      </c>
      <c r="D39" s="449"/>
      <c r="E39" s="496">
        <f t="shared" si="1"/>
        <v>0</v>
      </c>
      <c r="F39" s="535"/>
      <c r="G39" s="501"/>
      <c r="H39" s="501"/>
      <c r="I39" s="501"/>
      <c r="J39" s="501"/>
      <c r="K39" s="501"/>
      <c r="L39" s="501"/>
      <c r="M39" s="501"/>
    </row>
    <row r="40" spans="1:13">
      <c r="A40" s="501"/>
      <c r="B40" s="548" t="s">
        <v>453</v>
      </c>
      <c r="C40" s="495">
        <f>(C7+C8)*(C4+C5)</f>
        <v>0</v>
      </c>
      <c r="D40" s="449"/>
      <c r="E40" s="496">
        <f t="shared" si="1"/>
        <v>0</v>
      </c>
      <c r="F40" s="535"/>
      <c r="G40" s="501"/>
      <c r="H40" s="501"/>
      <c r="I40" s="501"/>
      <c r="J40" s="501"/>
      <c r="K40" s="501"/>
      <c r="L40" s="501"/>
      <c r="M40" s="501"/>
    </row>
    <row r="41" spans="1:13">
      <c r="A41" s="501"/>
      <c r="B41" s="548" t="s">
        <v>577</v>
      </c>
      <c r="C41" s="495">
        <f>C8*C5</f>
        <v>0</v>
      </c>
      <c r="D41" s="449"/>
      <c r="E41" s="496">
        <f t="shared" si="1"/>
        <v>0</v>
      </c>
      <c r="F41" s="535"/>
      <c r="G41" s="501"/>
      <c r="H41" s="501"/>
      <c r="I41" s="501"/>
      <c r="J41" s="501"/>
      <c r="K41" s="501"/>
      <c r="L41" s="501"/>
      <c r="M41" s="501"/>
    </row>
    <row r="42" spans="1:13">
      <c r="A42" s="501"/>
      <c r="B42" s="548" t="s">
        <v>455</v>
      </c>
      <c r="C42" s="495">
        <f>C9*C6</f>
        <v>0</v>
      </c>
      <c r="D42" s="449"/>
      <c r="E42" s="496">
        <f t="shared" si="1"/>
        <v>0</v>
      </c>
      <c r="F42" s="535"/>
      <c r="G42" s="501"/>
      <c r="H42" s="501"/>
      <c r="I42" s="501"/>
      <c r="J42" s="501"/>
      <c r="K42" s="501"/>
      <c r="L42" s="501"/>
      <c r="M42" s="501"/>
    </row>
    <row r="43" spans="1:13">
      <c r="A43" s="501"/>
      <c r="B43" s="548" t="s">
        <v>456</v>
      </c>
      <c r="C43" s="495">
        <f>C9*C6</f>
        <v>0</v>
      </c>
      <c r="D43" s="449"/>
      <c r="E43" s="496">
        <f t="shared" si="1"/>
        <v>0</v>
      </c>
      <c r="F43" s="535"/>
      <c r="G43" s="501"/>
      <c r="H43" s="501"/>
      <c r="I43" s="501"/>
      <c r="J43" s="501"/>
      <c r="K43" s="501"/>
      <c r="L43" s="501"/>
      <c r="M43" s="501"/>
    </row>
    <row r="44" spans="1:13">
      <c r="A44" s="501"/>
      <c r="B44" s="548" t="s">
        <v>458</v>
      </c>
      <c r="C44" s="495">
        <f>C11*C5</f>
        <v>0</v>
      </c>
      <c r="D44" s="449"/>
      <c r="E44" s="496">
        <f t="shared" si="1"/>
        <v>0</v>
      </c>
      <c r="F44" s="535"/>
      <c r="G44" s="501"/>
      <c r="H44" s="501"/>
      <c r="I44" s="501"/>
      <c r="J44" s="501"/>
      <c r="K44" s="501"/>
      <c r="L44" s="501"/>
      <c r="M44" s="501"/>
    </row>
    <row r="45" spans="1:13">
      <c r="A45" s="501"/>
      <c r="B45" s="548" t="s">
        <v>609</v>
      </c>
      <c r="C45" s="495">
        <f>(C10+C11)*(C4+C5)</f>
        <v>0</v>
      </c>
      <c r="D45" s="449"/>
      <c r="E45" s="496">
        <f t="shared" si="1"/>
        <v>0</v>
      </c>
      <c r="F45" s="535"/>
      <c r="G45" s="501"/>
      <c r="H45" s="501"/>
      <c r="I45" s="501"/>
      <c r="J45" s="501"/>
      <c r="K45" s="501"/>
      <c r="L45" s="501"/>
      <c r="M45" s="501"/>
    </row>
    <row r="46" spans="1:13">
      <c r="A46" s="501"/>
      <c r="B46" s="548" t="s">
        <v>465</v>
      </c>
      <c r="C46" s="495">
        <f>C12*C6</f>
        <v>0</v>
      </c>
      <c r="D46" s="449"/>
      <c r="E46" s="496">
        <f t="shared" si="1"/>
        <v>0</v>
      </c>
      <c r="F46" s="535"/>
      <c r="G46" s="501"/>
      <c r="H46" s="501"/>
      <c r="I46" s="501"/>
      <c r="J46" s="501"/>
      <c r="K46" s="501"/>
      <c r="L46" s="501"/>
      <c r="M46" s="501"/>
    </row>
    <row r="47" spans="1:13">
      <c r="A47" s="501"/>
      <c r="B47" s="548" t="s">
        <v>608</v>
      </c>
      <c r="C47" s="495">
        <f>(C7+C10)*C4</f>
        <v>0</v>
      </c>
      <c r="D47" s="449"/>
      <c r="E47" s="496">
        <f>C47*D47</f>
        <v>0</v>
      </c>
      <c r="F47" s="535"/>
      <c r="G47" s="501"/>
      <c r="H47" s="501"/>
      <c r="I47" s="501"/>
      <c r="J47" s="501"/>
      <c r="K47" s="501"/>
      <c r="L47" s="501"/>
      <c r="M47" s="501"/>
    </row>
    <row r="48" spans="1:13">
      <c r="A48" s="501"/>
      <c r="B48" s="548" t="s">
        <v>466</v>
      </c>
      <c r="C48" s="495">
        <f>C12*C6</f>
        <v>0</v>
      </c>
      <c r="D48" s="449"/>
      <c r="E48" s="496">
        <f t="shared" si="1"/>
        <v>0</v>
      </c>
      <c r="F48" s="535"/>
      <c r="G48" s="501"/>
      <c r="H48" s="501"/>
      <c r="I48" s="501"/>
      <c r="J48" s="501"/>
      <c r="K48" s="501"/>
      <c r="L48" s="501"/>
      <c r="M48" s="501"/>
    </row>
    <row r="49" spans="1:13">
      <c r="A49" s="501"/>
      <c r="B49" s="547" t="s">
        <v>710</v>
      </c>
      <c r="C49" s="442">
        <f>C2*(C4+C5+C6)</f>
        <v>0</v>
      </c>
      <c r="D49" s="443"/>
      <c r="E49" s="439">
        <f t="shared" si="1"/>
        <v>0</v>
      </c>
      <c r="F49" s="535"/>
      <c r="G49" s="501"/>
      <c r="H49" s="501"/>
      <c r="I49" s="501"/>
      <c r="J49" s="501"/>
      <c r="K49" s="501"/>
      <c r="L49" s="501"/>
      <c r="M49" s="501"/>
    </row>
    <row r="50" spans="1:13">
      <c r="A50" s="501"/>
      <c r="B50" s="621" t="s">
        <v>711</v>
      </c>
      <c r="C50" s="602">
        <f>C2*(C4+C5+C6)</f>
        <v>0</v>
      </c>
      <c r="D50" s="449"/>
      <c r="E50" s="496">
        <f t="shared" si="1"/>
        <v>0</v>
      </c>
      <c r="F50" s="535"/>
      <c r="G50" s="501"/>
      <c r="H50" s="501"/>
      <c r="I50" s="501"/>
      <c r="J50" s="501"/>
      <c r="K50" s="501"/>
      <c r="L50" s="501"/>
      <c r="M50" s="501"/>
    </row>
    <row r="51" spans="1:13">
      <c r="A51" s="501"/>
      <c r="B51" s="621" t="s">
        <v>712</v>
      </c>
      <c r="C51" s="602">
        <f>C5+C6+C4</f>
        <v>0</v>
      </c>
      <c r="D51" s="449"/>
      <c r="E51" s="496">
        <f t="shared" si="1"/>
        <v>0</v>
      </c>
      <c r="F51" s="535"/>
      <c r="G51" s="501"/>
      <c r="H51" s="501"/>
      <c r="I51" s="501"/>
      <c r="J51" s="501"/>
      <c r="K51" s="501"/>
      <c r="L51" s="501"/>
      <c r="M51" s="501"/>
    </row>
    <row r="52" spans="1:13">
      <c r="A52" s="501"/>
      <c r="B52" s="621" t="s">
        <v>713</v>
      </c>
      <c r="C52" s="602">
        <f>C4+C5+C6</f>
        <v>0</v>
      </c>
      <c r="D52" s="449"/>
      <c r="E52" s="496">
        <f t="shared" si="1"/>
        <v>0</v>
      </c>
      <c r="F52" s="535"/>
      <c r="G52" s="501"/>
      <c r="H52" s="501"/>
      <c r="I52" s="501"/>
      <c r="J52" s="501"/>
      <c r="K52" s="501"/>
      <c r="L52" s="501"/>
      <c r="M52" s="501"/>
    </row>
    <row r="53" spans="1:13">
      <c r="A53" s="501"/>
      <c r="B53" s="621" t="s">
        <v>534</v>
      </c>
      <c r="C53" s="602">
        <f>(C4+C5+C6)*2</f>
        <v>0</v>
      </c>
      <c r="D53" s="449"/>
      <c r="E53" s="496">
        <f t="shared" si="1"/>
        <v>0</v>
      </c>
      <c r="F53" s="535"/>
      <c r="G53" s="501"/>
      <c r="H53" s="501"/>
      <c r="I53" s="501"/>
      <c r="J53" s="501"/>
      <c r="K53" s="501"/>
      <c r="L53" s="501"/>
      <c r="M53" s="501"/>
    </row>
    <row r="54" spans="1:13">
      <c r="A54" s="501"/>
      <c r="B54" s="621" t="s">
        <v>203</v>
      </c>
      <c r="C54" s="602">
        <f>C18</f>
        <v>0</v>
      </c>
      <c r="D54" s="618"/>
      <c r="E54" s="496">
        <f t="shared" si="1"/>
        <v>0</v>
      </c>
      <c r="F54" s="535"/>
      <c r="G54" s="501"/>
      <c r="H54" s="501"/>
      <c r="I54" s="501"/>
      <c r="J54" s="501"/>
      <c r="K54" s="501"/>
      <c r="L54" s="501"/>
      <c r="M54" s="501"/>
    </row>
    <row r="55" spans="1:13">
      <c r="A55" s="501"/>
      <c r="B55" s="621" t="s">
        <v>206</v>
      </c>
      <c r="C55" s="602">
        <f>C17</f>
        <v>0</v>
      </c>
      <c r="D55" s="618"/>
      <c r="E55" s="496">
        <f t="shared" si="1"/>
        <v>0</v>
      </c>
      <c r="F55" s="535"/>
      <c r="G55" s="501"/>
      <c r="H55" s="501"/>
      <c r="I55" s="501"/>
      <c r="J55" s="501"/>
      <c r="K55" s="501"/>
      <c r="L55" s="501"/>
      <c r="M55" s="501"/>
    </row>
    <row r="56" spans="1:13">
      <c r="A56" s="501"/>
      <c r="B56" s="621" t="s">
        <v>769</v>
      </c>
      <c r="C56" s="602">
        <f>C19</f>
        <v>0</v>
      </c>
      <c r="D56" s="618"/>
      <c r="E56" s="496">
        <f t="shared" si="1"/>
        <v>0</v>
      </c>
      <c r="F56" s="535"/>
      <c r="G56" s="501"/>
      <c r="H56" s="501"/>
      <c r="I56" s="501"/>
      <c r="J56" s="501"/>
      <c r="K56" s="501"/>
      <c r="L56" s="501"/>
      <c r="M56" s="501"/>
    </row>
    <row r="57" spans="1:13" ht="12" thickBot="1">
      <c r="A57" s="501"/>
      <c r="B57" s="622" t="s">
        <v>714</v>
      </c>
      <c r="C57" s="604">
        <f>IF(AND((C4+C5+C6)&gt;0.9,C16=1,C2&lt;=1),(C4+C5+C6)*2,IF(AND((C4+C5+C6)&gt;0.9,C16=1,C2&lt;=1.5),(C4+C5+C6)*3,IF(AND((C4+C5+C6)&gt;0.9,C16=1,C2&lt;=2),(C4+C5+C6)*4,IF(AND((C4+C5+C6)&gt;0.9,C16=1,C2&lt;=2.5),(C4+C5+C6)*5,IF(AND((C4+C5+C6)&gt;0.9,C16=1,C2&lt;=3),(C4+C5+C6)*6,IF(AND((C4+C5+C6)&gt;0.9,C16=1,C2&lt;=3.5),(C4+C5+C6)*7,IF(AND((C4+C5+C6)&gt;0.9,C16=1,C2&lt;=4),(C4+C5+C6)*8,IF(AND((C4+C5+C6)&gt;0.9,C16=1,C2&lt;=4.5),(C4+C5+C6)*9,IF(AND((C4+C5+C6)&gt;0.9,C16=1,C2&lt;=5),(C4+C5+C6)*10,0)))))))))</f>
        <v>0</v>
      </c>
      <c r="D57" s="569"/>
      <c r="E57" s="500">
        <f t="shared" si="1"/>
        <v>0</v>
      </c>
      <c r="F57" s="535"/>
      <c r="G57" s="501"/>
      <c r="H57" s="501"/>
      <c r="I57" s="501"/>
      <c r="J57" s="501"/>
      <c r="K57" s="501"/>
      <c r="L57" s="501"/>
      <c r="M57" s="501"/>
    </row>
    <row r="58" spans="1:13" ht="13.5" thickBot="1">
      <c r="A58" s="501"/>
      <c r="B58" s="535"/>
      <c r="C58" s="535"/>
      <c r="D58" s="551" t="s">
        <v>9</v>
      </c>
      <c r="E58" s="623">
        <f>SUMIF(E23:E57,"&gt;0",E23:E57)</f>
        <v>0</v>
      </c>
      <c r="F58" s="549"/>
      <c r="G58" s="619"/>
      <c r="H58" s="501"/>
      <c r="I58" s="501"/>
      <c r="J58" s="501"/>
      <c r="K58" s="501"/>
      <c r="L58" s="501"/>
      <c r="M58" s="501"/>
    </row>
    <row r="59" spans="1:13" ht="12" customHeight="1">
      <c r="A59" s="501"/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</row>
    <row r="60" spans="1:13" ht="11.25" customHeight="1"/>
    <row r="61" spans="1:13" ht="11.25" customHeight="1"/>
    <row r="62" spans="1:13" ht="11.25" customHeight="1"/>
    <row r="63" spans="1:13" ht="11.25" customHeight="1"/>
    <row r="64" spans="1:13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2" customHeight="1"/>
    <row r="79" ht="11.25" customHeight="1"/>
    <row r="80" ht="11.25" customHeight="1"/>
    <row r="81" ht="11.25" customHeight="1"/>
    <row r="82" ht="11.25" customHeight="1"/>
    <row r="83" ht="11.25" customHeight="1"/>
  </sheetData>
  <sheetProtection algorithmName="SHA-512" hashValue="F+9Gq4SNPAjoJ4ApEKMqKk+E97+oQejJ1wqxLMx+svMHNecT4gXHIuGoVa1cg1qu2SDPGieMGp+Raq8O0KXHwg==" saltValue="jBkVoqBlx1ApZlX3C1hcHQ==" spinCount="100000" sheet="1"/>
  <mergeCells count="12">
    <mergeCell ref="K1:M1"/>
    <mergeCell ref="N1:P1"/>
    <mergeCell ref="D2:F3"/>
    <mergeCell ref="D4:F6"/>
    <mergeCell ref="F7:F12"/>
    <mergeCell ref="D18:F18"/>
    <mergeCell ref="D19:F19"/>
    <mergeCell ref="B1:D1"/>
    <mergeCell ref="E1:G1"/>
    <mergeCell ref="H1:J1"/>
    <mergeCell ref="F14:F15"/>
    <mergeCell ref="D17:F17"/>
  </mergeCells>
  <conditionalFormatting sqref="C13">
    <cfRule type="cellIs" dxfId="449" priority="9" operator="greaterThan">
      <formula>0</formula>
    </cfRule>
  </conditionalFormatting>
  <conditionalFormatting sqref="C13">
    <cfRule type="cellIs" dxfId="448" priority="10" operator="greaterThan">
      <formula>0</formula>
    </cfRule>
  </conditionalFormatting>
  <conditionalFormatting sqref="C2:C16">
    <cfRule type="cellIs" dxfId="447" priority="8" operator="greaterThan">
      <formula>0</formula>
    </cfRule>
  </conditionalFormatting>
  <conditionalFormatting sqref="C23:E57">
    <cfRule type="cellIs" dxfId="446" priority="7" operator="greaterThan">
      <formula>0</formula>
    </cfRule>
  </conditionalFormatting>
  <conditionalFormatting sqref="E58">
    <cfRule type="cellIs" dxfId="445" priority="6" operator="greaterThan">
      <formula>0</formula>
    </cfRule>
  </conditionalFormatting>
  <conditionalFormatting sqref="I3:I21">
    <cfRule type="cellIs" dxfId="444" priority="2" operator="equal">
      <formula>"ДА"</formula>
    </cfRule>
    <cfRule type="cellIs" dxfId="443" priority="3" operator="equal">
      <formula>"НЕТ"</formula>
    </cfRule>
  </conditionalFormatting>
  <conditionalFormatting sqref="I3:I21">
    <cfRule type="colorScale" priority="4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3:K21">
    <cfRule type="cellIs" dxfId="442" priority="5" operator="greaterThan">
      <formula>0</formula>
    </cfRule>
  </conditionalFormatting>
  <conditionalFormatting sqref="C17:C19">
    <cfRule type="cellIs" dxfId="44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M37"/>
  <sheetViews>
    <sheetView zoomScale="130" zoomScaleNormal="130" workbookViewId="0">
      <selection activeCell="A26" sqref="A26"/>
    </sheetView>
  </sheetViews>
  <sheetFormatPr defaultRowHeight="11.25"/>
  <cols>
    <col min="1" max="1" width="59.83203125" customWidth="1"/>
    <col min="2" max="2" width="11.33203125" customWidth="1"/>
    <col min="3" max="3" width="11.1640625" customWidth="1"/>
    <col min="4" max="4" width="12.1640625" customWidth="1"/>
    <col min="5" max="5" width="12.5" customWidth="1"/>
    <col min="13" max="13" width="20.5" customWidth="1"/>
  </cols>
  <sheetData>
    <row r="1" spans="1:13" ht="31.5" customHeight="1" thickBot="1">
      <c r="A1" s="869" t="s">
        <v>653</v>
      </c>
      <c r="B1" s="870"/>
      <c r="C1" s="870"/>
      <c r="D1" s="870"/>
      <c r="E1" s="373"/>
      <c r="F1" s="15"/>
    </row>
    <row r="2" spans="1:13" ht="14.25">
      <c r="A2" s="12" t="s">
        <v>3</v>
      </c>
      <c r="B2" s="16"/>
      <c r="C2" s="17"/>
      <c r="D2" s="17"/>
      <c r="E2" s="17"/>
      <c r="F2" s="18"/>
      <c r="H2" s="871" t="s">
        <v>150</v>
      </c>
      <c r="I2" s="872"/>
      <c r="J2" s="872"/>
      <c r="K2" s="872"/>
      <c r="L2" s="872"/>
      <c r="M2" s="873"/>
    </row>
    <row r="3" spans="1:13" ht="12" thickBot="1">
      <c r="A3" s="13" t="s">
        <v>10</v>
      </c>
      <c r="B3" s="19">
        <v>1.4</v>
      </c>
      <c r="C3" s="17"/>
      <c r="D3" s="17"/>
      <c r="E3" s="17"/>
      <c r="F3" s="18"/>
      <c r="H3" s="874"/>
      <c r="I3" s="875"/>
      <c r="J3" s="875"/>
      <c r="K3" s="875"/>
      <c r="L3" s="875"/>
      <c r="M3" s="876"/>
    </row>
    <row r="4" spans="1:13">
      <c r="A4" s="13" t="s">
        <v>1</v>
      </c>
      <c r="B4" s="19">
        <v>1</v>
      </c>
      <c r="C4" s="17"/>
      <c r="D4" s="17"/>
      <c r="E4" s="17"/>
      <c r="F4" s="18"/>
    </row>
    <row r="5" spans="1:13">
      <c r="A5" s="13" t="s">
        <v>2</v>
      </c>
      <c r="B5" s="19">
        <v>1</v>
      </c>
      <c r="C5" s="17"/>
      <c r="D5" s="17"/>
      <c r="E5" s="17"/>
      <c r="F5" s="18"/>
    </row>
    <row r="6" spans="1:13">
      <c r="A6" s="13" t="s">
        <v>170</v>
      </c>
      <c r="B6" s="19">
        <v>10</v>
      </c>
      <c r="C6" s="17"/>
      <c r="D6" s="17"/>
      <c r="E6" s="17"/>
      <c r="F6" s="18"/>
    </row>
    <row r="7" spans="1:13">
      <c r="A7" s="13" t="s">
        <v>648</v>
      </c>
      <c r="B7" s="19">
        <v>2</v>
      </c>
      <c r="C7" s="17"/>
      <c r="D7" s="17"/>
      <c r="E7" s="17"/>
      <c r="F7" s="18"/>
    </row>
    <row r="8" spans="1:13">
      <c r="A8" s="13" t="s">
        <v>651</v>
      </c>
      <c r="B8" s="19">
        <v>2</v>
      </c>
      <c r="C8" s="17"/>
      <c r="D8" s="17"/>
      <c r="E8" s="17"/>
      <c r="F8" s="18"/>
    </row>
    <row r="9" spans="1:13" ht="12" thickBot="1">
      <c r="A9" s="14" t="s">
        <v>652</v>
      </c>
      <c r="B9" s="20">
        <v>50</v>
      </c>
      <c r="C9" s="17"/>
      <c r="D9" s="17"/>
      <c r="E9" s="17"/>
      <c r="F9" s="18"/>
    </row>
    <row r="10" spans="1:13">
      <c r="A10" s="21"/>
      <c r="B10" s="22"/>
      <c r="C10" s="17"/>
      <c r="D10" s="17"/>
      <c r="E10" s="17"/>
      <c r="F10" s="18"/>
    </row>
    <row r="11" spans="1:13" ht="12" thickBot="1">
      <c r="A11" s="23" t="s">
        <v>11</v>
      </c>
      <c r="B11" s="24"/>
      <c r="C11" s="24"/>
      <c r="D11" s="24"/>
      <c r="E11" s="24"/>
      <c r="F11" s="18"/>
    </row>
    <row r="12" spans="1:13">
      <c r="A12" s="25"/>
      <c r="B12" s="26" t="s">
        <v>12</v>
      </c>
      <c r="C12" s="27" t="s">
        <v>4</v>
      </c>
      <c r="D12" s="27" t="s">
        <v>13</v>
      </c>
      <c r="E12" s="16"/>
      <c r="F12" s="18"/>
    </row>
    <row r="13" spans="1:13" ht="12.75" customHeight="1">
      <c r="A13" s="28" t="s">
        <v>104</v>
      </c>
      <c r="B13" s="29"/>
      <c r="C13" s="30"/>
      <c r="D13" s="152">
        <f>4*B5</f>
        <v>4</v>
      </c>
      <c r="E13" s="31">
        <f t="shared" ref="E13:E25" si="0">D13*C13</f>
        <v>0</v>
      </c>
      <c r="F13" s="18"/>
    </row>
    <row r="14" spans="1:13">
      <c r="A14" s="28" t="s">
        <v>301</v>
      </c>
      <c r="B14" s="29"/>
      <c r="C14" s="30"/>
      <c r="D14" s="152">
        <f>B5</f>
        <v>1</v>
      </c>
      <c r="E14" s="31">
        <f t="shared" si="0"/>
        <v>0</v>
      </c>
      <c r="F14" s="18"/>
    </row>
    <row r="15" spans="1:13">
      <c r="A15" s="28" t="s">
        <v>645</v>
      </c>
      <c r="B15" s="29"/>
      <c r="C15" s="30"/>
      <c r="D15" s="152">
        <f>(B3-0.012)*B5</f>
        <v>1.3879999999999999</v>
      </c>
      <c r="E15" s="31">
        <f t="shared" si="0"/>
        <v>0</v>
      </c>
      <c r="F15" s="18"/>
    </row>
    <row r="16" spans="1:13">
      <c r="A16" s="28" t="s">
        <v>14</v>
      </c>
      <c r="B16" s="29"/>
      <c r="C16" s="30"/>
      <c r="D16" s="152">
        <f>(B3-0.01)*B5</f>
        <v>1.39</v>
      </c>
      <c r="E16" s="31">
        <f t="shared" si="0"/>
        <v>0</v>
      </c>
      <c r="F16" s="18"/>
    </row>
    <row r="17" spans="1:6">
      <c r="A17" s="28" t="s">
        <v>654</v>
      </c>
      <c r="B17" s="29"/>
      <c r="C17" s="30"/>
      <c r="D17" s="152">
        <f>B5</f>
        <v>1</v>
      </c>
      <c r="E17" s="31"/>
      <c r="F17" s="18"/>
    </row>
    <row r="18" spans="1:6">
      <c r="A18" s="28" t="s">
        <v>655</v>
      </c>
      <c r="B18" s="29"/>
      <c r="C18" s="30"/>
      <c r="D18" s="152">
        <f>D16</f>
        <v>1.39</v>
      </c>
      <c r="E18" s="31"/>
      <c r="F18" s="18"/>
    </row>
    <row r="19" spans="1:6">
      <c r="A19" s="28" t="s">
        <v>115</v>
      </c>
      <c r="B19" s="33"/>
      <c r="C19" s="34"/>
      <c r="D19" s="152">
        <f>B5*2</f>
        <v>2</v>
      </c>
      <c r="E19" s="31">
        <f t="shared" si="0"/>
        <v>0</v>
      </c>
      <c r="F19" s="18"/>
    </row>
    <row r="20" spans="1:6">
      <c r="A20" s="28" t="s">
        <v>27</v>
      </c>
      <c r="B20" s="29"/>
      <c r="C20" s="30"/>
      <c r="D20" s="152">
        <f>(B4-0.07)*2*B5</f>
        <v>1.8599999999999999</v>
      </c>
      <c r="E20" s="31">
        <f t="shared" si="0"/>
        <v>0</v>
      </c>
      <c r="F20" s="18"/>
    </row>
    <row r="21" spans="1:6">
      <c r="A21" s="28" t="s">
        <v>17</v>
      </c>
      <c r="B21" s="29"/>
      <c r="C21" s="30"/>
      <c r="D21" s="152">
        <f>(B3-0.017)*B5</f>
        <v>1.383</v>
      </c>
      <c r="E21" s="31">
        <f t="shared" si="0"/>
        <v>0</v>
      </c>
      <c r="F21" s="18"/>
    </row>
    <row r="22" spans="1:6">
      <c r="A22" s="28" t="s">
        <v>18</v>
      </c>
      <c r="B22" s="29"/>
      <c r="C22" s="30"/>
      <c r="D22" s="152">
        <f>(B4-0.07)*B5*2</f>
        <v>1.8599999999999999</v>
      </c>
      <c r="E22" s="31">
        <f t="shared" si="0"/>
        <v>0</v>
      </c>
      <c r="F22" s="18"/>
    </row>
    <row r="23" spans="1:6">
      <c r="A23" s="28" t="s">
        <v>19</v>
      </c>
      <c r="B23" s="29"/>
      <c r="C23" s="35"/>
      <c r="D23" s="152">
        <f>B3*B5</f>
        <v>1.4</v>
      </c>
      <c r="E23" s="31">
        <f t="shared" si="0"/>
        <v>0</v>
      </c>
      <c r="F23" s="18"/>
    </row>
    <row r="24" spans="1:6">
      <c r="A24" s="28" t="s">
        <v>20</v>
      </c>
      <c r="B24" s="29"/>
      <c r="C24" s="35"/>
      <c r="D24" s="152">
        <f>B3*B5</f>
        <v>1.4</v>
      </c>
      <c r="E24" s="31">
        <f t="shared" si="0"/>
        <v>0</v>
      </c>
      <c r="F24" s="18"/>
    </row>
    <row r="25" spans="1:6">
      <c r="A25" s="28" t="s">
        <v>21</v>
      </c>
      <c r="B25" s="29"/>
      <c r="C25" s="30"/>
      <c r="D25" s="152">
        <f>B3*B5</f>
        <v>1.4</v>
      </c>
      <c r="E25" s="31">
        <f t="shared" si="0"/>
        <v>0</v>
      </c>
      <c r="F25" s="18"/>
    </row>
    <row r="26" spans="1:6">
      <c r="A26" s="28" t="s">
        <v>646</v>
      </c>
      <c r="B26" s="29"/>
      <c r="C26" s="30"/>
      <c r="D26" s="152">
        <f>B5</f>
        <v>1</v>
      </c>
      <c r="E26" s="31">
        <f>C26*D26</f>
        <v>0</v>
      </c>
      <c r="F26" s="18"/>
    </row>
    <row r="27" spans="1:6">
      <c r="A27" s="28" t="s">
        <v>650</v>
      </c>
      <c r="B27" s="29"/>
      <c r="C27" s="35"/>
      <c r="D27" s="152">
        <f>B8</f>
        <v>2</v>
      </c>
      <c r="E27" s="31">
        <f>D27*C27</f>
        <v>0</v>
      </c>
      <c r="F27" s="18"/>
    </row>
    <row r="28" spans="1:6">
      <c r="A28" s="28" t="s">
        <v>649</v>
      </c>
      <c r="B28" s="29"/>
      <c r="C28" s="35"/>
      <c r="D28" s="152">
        <f>B6</f>
        <v>10</v>
      </c>
      <c r="E28" s="31">
        <f>D28*C28</f>
        <v>0</v>
      </c>
      <c r="F28" s="18"/>
    </row>
    <row r="29" spans="1:6">
      <c r="A29" s="29" t="s">
        <v>647</v>
      </c>
      <c r="B29" s="374"/>
      <c r="C29" s="374"/>
      <c r="D29" s="374">
        <f>B7</f>
        <v>2</v>
      </c>
      <c r="E29" s="31">
        <f>D29*C29</f>
        <v>0</v>
      </c>
      <c r="F29" s="18"/>
    </row>
    <row r="30" spans="1:6">
      <c r="A30" s="21"/>
      <c r="B30" s="17"/>
      <c r="C30" s="17"/>
      <c r="D30" s="17"/>
      <c r="E30" s="41">
        <f>SUM(E13:E28)</f>
        <v>0</v>
      </c>
      <c r="F30" s="18"/>
    </row>
    <row r="31" spans="1:6">
      <c r="A31" s="21"/>
      <c r="B31" s="17"/>
      <c r="C31" s="17"/>
      <c r="D31" s="17"/>
      <c r="E31" s="17"/>
      <c r="F31" s="18"/>
    </row>
    <row r="32" spans="1:6" ht="12" thickBot="1">
      <c r="A32" s="23" t="s">
        <v>22</v>
      </c>
      <c r="B32" s="24"/>
      <c r="C32" s="24"/>
      <c r="D32" s="24"/>
      <c r="E32" s="17"/>
      <c r="F32" s="18"/>
    </row>
    <row r="33" spans="1:6">
      <c r="A33" s="42" t="s">
        <v>35</v>
      </c>
      <c r="B33" s="26"/>
      <c r="C33" s="26"/>
      <c r="D33" s="26"/>
      <c r="E33" s="16"/>
      <c r="F33" s="18"/>
    </row>
    <row r="34" spans="1:6" ht="12" thickBot="1">
      <c r="A34" s="36" t="s">
        <v>25</v>
      </c>
      <c r="B34" s="37"/>
      <c r="C34" s="38"/>
      <c r="D34" s="39">
        <f>(B4-0.07)*2*B5</f>
        <v>1.8599999999999999</v>
      </c>
      <c r="E34" s="40">
        <f>D34*C34</f>
        <v>0</v>
      </c>
      <c r="F34" s="18"/>
    </row>
    <row r="35" spans="1:6">
      <c r="A35" s="877" t="s">
        <v>26</v>
      </c>
      <c r="B35" s="878"/>
      <c r="C35" s="878"/>
      <c r="D35" s="879"/>
      <c r="E35" s="43">
        <f>SUM(E34:E34)+E30</f>
        <v>0</v>
      </c>
      <c r="F35" s="18"/>
    </row>
    <row r="36" spans="1:6">
      <c r="A36" s="46"/>
      <c r="B36" s="17"/>
      <c r="C36" s="17"/>
      <c r="D36" s="17"/>
      <c r="E36" s="41"/>
      <c r="F36" s="18"/>
    </row>
    <row r="37" spans="1:6" ht="15.75" thickBot="1">
      <c r="A37" s="47" t="s">
        <v>28</v>
      </c>
      <c r="B37" s="44"/>
      <c r="C37" s="44"/>
      <c r="D37" s="44"/>
      <c r="E37" s="44"/>
      <c r="F37" s="45"/>
    </row>
  </sheetData>
  <mergeCells count="3">
    <mergeCell ref="A1:D1"/>
    <mergeCell ref="H2:M3"/>
    <mergeCell ref="A35:D35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M110"/>
  <sheetViews>
    <sheetView workbookViewId="0">
      <pane ySplit="27" topLeftCell="A31" activePane="bottomLeft" state="frozen"/>
      <selection pane="bottomLeft" activeCell="C40" sqref="C40"/>
    </sheetView>
  </sheetViews>
  <sheetFormatPr defaultRowHeight="11.25"/>
  <cols>
    <col min="2" max="2" width="59.33203125" customWidth="1"/>
    <col min="3" max="3" width="10.6640625" customWidth="1"/>
    <col min="4" max="4" width="15.1640625" customWidth="1"/>
    <col min="5" max="5" width="17.33203125" customWidth="1"/>
    <col min="6" max="6" width="27.83203125" customWidth="1"/>
    <col min="7" max="7" width="6.1640625" customWidth="1"/>
    <col min="8" max="8" width="50.5" customWidth="1"/>
    <col min="9" max="9" width="5.1640625" customWidth="1"/>
  </cols>
  <sheetData>
    <row r="1" spans="2:13" ht="50.25" customHeight="1" thickBot="1">
      <c r="B1" s="984"/>
      <c r="C1" s="985"/>
      <c r="D1" s="985"/>
    </row>
    <row r="2" spans="2:13" ht="11.25" customHeight="1" thickBot="1">
      <c r="B2" s="596" t="s">
        <v>10</v>
      </c>
      <c r="C2" s="554">
        <v>0</v>
      </c>
      <c r="D2" s="1047" t="s">
        <v>675</v>
      </c>
      <c r="E2" s="1048"/>
      <c r="F2" s="1049"/>
      <c r="G2" s="150"/>
      <c r="H2" s="505" t="s">
        <v>565</v>
      </c>
      <c r="I2" s="506" t="s">
        <v>684</v>
      </c>
      <c r="J2" s="572" t="s">
        <v>4</v>
      </c>
      <c r="K2" s="573" t="s">
        <v>8</v>
      </c>
    </row>
    <row r="3" spans="2:13" ht="12.75" thickBot="1">
      <c r="B3" s="597" t="s">
        <v>1</v>
      </c>
      <c r="C3" s="555">
        <v>0</v>
      </c>
      <c r="D3" s="1050"/>
      <c r="E3" s="1051"/>
      <c r="F3" s="1052"/>
      <c r="H3" s="667" t="s">
        <v>450</v>
      </c>
      <c r="I3" s="668" t="str">
        <f>IF(AND($C$7+$C$8=1,$C$9+$C$10+$C$11+$C$12=0,$C$13=2),"ДА","НЕТ")</f>
        <v>НЕТ</v>
      </c>
      <c r="J3" s="669"/>
      <c r="K3" s="670">
        <f>IF(I3="ДА",($C$4+$C$5+$C$6)*J3,0)</f>
        <v>0</v>
      </c>
    </row>
    <row r="4" spans="2:13" ht="12" customHeight="1">
      <c r="B4" s="596" t="s">
        <v>610</v>
      </c>
      <c r="C4" s="560">
        <v>0</v>
      </c>
      <c r="D4" s="1047" t="s">
        <v>677</v>
      </c>
      <c r="E4" s="1048"/>
      <c r="F4" s="1070"/>
      <c r="G4" s="337"/>
      <c r="H4" s="512" t="s">
        <v>451</v>
      </c>
      <c r="I4" s="510" t="str">
        <f>IF(AND($C$7+$C$8=1,$C$9+$C$10+$C$11+$C$12=0,$C$13=2),"ДА","НЕТ")</f>
        <v>НЕТ</v>
      </c>
      <c r="J4" s="491"/>
      <c r="K4" s="414">
        <f t="shared" ref="K4:K21" si="0">IF(I4="ДА",($C$4+$C$5+$C$6)*J4,0)</f>
        <v>0</v>
      </c>
    </row>
    <row r="5" spans="2:13" ht="12">
      <c r="B5" s="598" t="s">
        <v>475</v>
      </c>
      <c r="C5" s="558">
        <v>0</v>
      </c>
      <c r="D5" s="1067"/>
      <c r="E5" s="1053"/>
      <c r="F5" s="1071"/>
      <c r="G5" s="337"/>
      <c r="H5" s="512" t="s">
        <v>452</v>
      </c>
      <c r="I5" s="510" t="str">
        <f>IF(AND($C$7+$C$8=1,$C$9+$C$10+$C$11+$C$12=0,$C$13=2),"ДА","НЕТ")</f>
        <v>НЕТ</v>
      </c>
      <c r="J5" s="491"/>
      <c r="K5" s="414">
        <f t="shared" si="0"/>
        <v>0</v>
      </c>
    </row>
    <row r="6" spans="2:13" ht="12.75" thickBot="1">
      <c r="B6" s="599" t="s">
        <v>471</v>
      </c>
      <c r="C6" s="562">
        <v>0</v>
      </c>
      <c r="D6" s="1067"/>
      <c r="E6" s="1053"/>
      <c r="F6" s="1071"/>
      <c r="H6" s="514" t="s">
        <v>454</v>
      </c>
      <c r="I6" s="510" t="str">
        <f>IF(AND($C$7+$C$8=1,$C$9+$C$10+$C$11+$C$12=0,$C$13=3),"ДА","НЕТ")</f>
        <v>НЕТ</v>
      </c>
      <c r="J6" s="417"/>
      <c r="K6" s="414">
        <f t="shared" si="0"/>
        <v>0</v>
      </c>
    </row>
    <row r="7" spans="2:13" ht="12" customHeight="1">
      <c r="B7" s="596" t="s">
        <v>601</v>
      </c>
      <c r="C7" s="560">
        <v>0</v>
      </c>
      <c r="D7" s="606" t="s">
        <v>365</v>
      </c>
      <c r="E7" s="460" t="s">
        <v>327</v>
      </c>
      <c r="F7" s="1055" t="s">
        <v>676</v>
      </c>
      <c r="H7" s="512" t="s">
        <v>569</v>
      </c>
      <c r="I7" s="510" t="str">
        <f>IF(AND($C$9=1,$C$7+$C$8+$C$10+$C$11+$C$12=0,$C$13=1),"ДА","НЕТ")</f>
        <v>НЕТ</v>
      </c>
      <c r="J7" s="491"/>
      <c r="K7" s="414">
        <f t="shared" si="0"/>
        <v>0</v>
      </c>
    </row>
    <row r="8" spans="2:13" ht="12">
      <c r="B8" s="598" t="s">
        <v>570</v>
      </c>
      <c r="C8" s="558">
        <v>0</v>
      </c>
      <c r="D8" s="463" t="s">
        <v>365</v>
      </c>
      <c r="E8" s="462" t="s">
        <v>327</v>
      </c>
      <c r="F8" s="1056"/>
      <c r="H8" s="514" t="s">
        <v>566</v>
      </c>
      <c r="I8" s="510" t="str">
        <f>IF(AND($C$9=1,$C$7+$C$8+$C$10+$C$11+$C$12=0,$C$13=3),"ДА","НЕТ")</f>
        <v>НЕТ</v>
      </c>
      <c r="J8" s="417"/>
      <c r="K8" s="414">
        <f t="shared" si="0"/>
        <v>0</v>
      </c>
    </row>
    <row r="9" spans="2:13" ht="12">
      <c r="B9" s="614" t="s">
        <v>571</v>
      </c>
      <c r="C9" s="557">
        <v>0</v>
      </c>
      <c r="D9" s="463" t="s">
        <v>365</v>
      </c>
      <c r="E9" s="462" t="s">
        <v>327</v>
      </c>
      <c r="F9" s="1056"/>
      <c r="G9" s="338"/>
      <c r="H9" s="514" t="s">
        <v>567</v>
      </c>
      <c r="I9" s="510" t="str">
        <f>IF(AND($C$9=1,$C$7+$C$8+$C$10+$C$11+$C$12=0,$C$13=2),"ДА","НЕТ")</f>
        <v>НЕТ</v>
      </c>
      <c r="J9" s="417"/>
      <c r="K9" s="414">
        <f t="shared" si="0"/>
        <v>0</v>
      </c>
    </row>
    <row r="10" spans="2:13" ht="12">
      <c r="B10" s="598" t="s">
        <v>602</v>
      </c>
      <c r="C10" s="558">
        <v>0</v>
      </c>
      <c r="D10" s="607" t="s">
        <v>365</v>
      </c>
      <c r="E10" s="465" t="s">
        <v>327</v>
      </c>
      <c r="F10" s="1056"/>
      <c r="G10" s="338"/>
      <c r="H10" s="514" t="s">
        <v>568</v>
      </c>
      <c r="I10" s="510" t="str">
        <f>IF(AND($C$9=1,$C$7+$C$8+$C$10+$C$11+$C$12=0,$C$13=2),"ДА","НЕТ")</f>
        <v>НЕТ</v>
      </c>
      <c r="J10" s="417"/>
      <c r="K10" s="414">
        <f t="shared" si="0"/>
        <v>0</v>
      </c>
    </row>
    <row r="11" spans="2:13" ht="12">
      <c r="B11" s="598" t="s">
        <v>572</v>
      </c>
      <c r="C11" s="558">
        <v>0</v>
      </c>
      <c r="D11" s="463" t="s">
        <v>365</v>
      </c>
      <c r="E11" s="462" t="s">
        <v>327</v>
      </c>
      <c r="F11" s="1056"/>
      <c r="G11" s="338"/>
      <c r="H11" s="514" t="s">
        <v>574</v>
      </c>
      <c r="I11" s="510" t="str">
        <f>IF(AND($C$9=1,$C$7+$C$8+$C$10+$C$11+$C$12=0,$C$13=2),"ДА","НЕТ")</f>
        <v>НЕТ</v>
      </c>
      <c r="J11" s="417"/>
      <c r="K11" s="414">
        <f t="shared" si="0"/>
        <v>0</v>
      </c>
      <c r="L11" s="338"/>
      <c r="M11" s="338"/>
    </row>
    <row r="12" spans="2:13" ht="12.75" thickBot="1">
      <c r="B12" s="624" t="s">
        <v>573</v>
      </c>
      <c r="C12" s="568">
        <v>0</v>
      </c>
      <c r="D12" s="625" t="s">
        <v>365</v>
      </c>
      <c r="E12" s="615" t="s">
        <v>327</v>
      </c>
      <c r="F12" s="1056"/>
      <c r="H12" s="514" t="s">
        <v>706</v>
      </c>
      <c r="I12" s="510" t="str">
        <f>IF(AND($C$10=1,$C$8+$C$9+$C$7+$C$11+$C$12=0,$C$13=2),"ДА","НЕТ")</f>
        <v>НЕТ</v>
      </c>
      <c r="J12" s="417"/>
      <c r="K12" s="414">
        <f t="shared" si="0"/>
        <v>0</v>
      </c>
      <c r="L12" s="338"/>
      <c r="M12" s="338"/>
    </row>
    <row r="13" spans="2:13" ht="12.75" thickBot="1">
      <c r="B13" s="525" t="s">
        <v>669</v>
      </c>
      <c r="C13" s="561">
        <v>0</v>
      </c>
      <c r="D13" s="567" t="s">
        <v>699</v>
      </c>
      <c r="E13" s="530" t="s">
        <v>700</v>
      </c>
      <c r="F13" s="532" t="s">
        <v>701</v>
      </c>
      <c r="H13" s="514" t="s">
        <v>598</v>
      </c>
      <c r="I13" s="510" t="str">
        <f>IF(AND($C$10=1,$C$8+$C$9+$C$7+$C$11+$C$12=0,$C$13=2),"ДА","НЕТ")</f>
        <v>НЕТ</v>
      </c>
      <c r="J13" s="417"/>
      <c r="K13" s="414">
        <f t="shared" si="0"/>
        <v>0</v>
      </c>
      <c r="L13" s="338"/>
      <c r="M13" s="338"/>
    </row>
    <row r="14" spans="2:13" ht="12.75" thickBot="1">
      <c r="B14" s="608" t="s">
        <v>472</v>
      </c>
      <c r="C14" s="609">
        <v>0</v>
      </c>
      <c r="D14" s="626" t="s">
        <v>473</v>
      </c>
      <c r="E14" s="471" t="s">
        <v>474</v>
      </c>
      <c r="F14" s="654"/>
      <c r="H14" s="514" t="s">
        <v>599</v>
      </c>
      <c r="I14" s="510" t="str">
        <f>IF(AND($C$10=1,$C$8+$C$9+$C$7+$C$11+$C$12=0,$C$13=1),"ДА","НЕТ")</f>
        <v>НЕТ</v>
      </c>
      <c r="J14" s="417"/>
      <c r="K14" s="414">
        <f t="shared" si="0"/>
        <v>0</v>
      </c>
      <c r="L14" s="338"/>
      <c r="M14" s="338"/>
    </row>
    <row r="15" spans="2:13" ht="12.75" thickBot="1">
      <c r="B15" s="600" t="s">
        <v>611</v>
      </c>
      <c r="C15" s="561">
        <v>0</v>
      </c>
      <c r="D15" s="616" t="s">
        <v>365</v>
      </c>
      <c r="E15" s="469" t="s">
        <v>327</v>
      </c>
      <c r="F15" s="566" t="s">
        <v>748</v>
      </c>
      <c r="H15" s="512" t="s">
        <v>457</v>
      </c>
      <c r="I15" s="510" t="str">
        <f>IF(AND($C$11=1,$C$7+$C$9+$C$10+$C$8+$C$12=0,$C$13=2),"ДА","НЕТ")</f>
        <v>НЕТ</v>
      </c>
      <c r="J15" s="420"/>
      <c r="K15" s="414">
        <f>IF(I15="ДА",($C$4+$C$5+$C$6)*J15,0)</f>
        <v>0</v>
      </c>
    </row>
    <row r="16" spans="2:13" ht="12.75" thickBot="1">
      <c r="B16" s="599" t="s">
        <v>561</v>
      </c>
      <c r="C16" s="562">
        <v>0</v>
      </c>
      <c r="D16" s="617" t="s">
        <v>365</v>
      </c>
      <c r="E16" s="467" t="s">
        <v>327</v>
      </c>
      <c r="F16" s="655"/>
      <c r="H16" s="509" t="s">
        <v>460</v>
      </c>
      <c r="I16" s="510" t="str">
        <f>IF(AND($C$11=1,$C$7+$C$9+$C$10+$C$8+$C$12=0,$C$13=1),"ДА","НЕТ")</f>
        <v>НЕТ</v>
      </c>
      <c r="J16" s="420"/>
      <c r="K16" s="414">
        <f t="shared" si="0"/>
        <v>0</v>
      </c>
    </row>
    <row r="17" spans="1:11" ht="12.75" thickBot="1">
      <c r="B17" s="599" t="s">
        <v>491</v>
      </c>
      <c r="C17" s="562">
        <v>0</v>
      </c>
      <c r="D17" s="617" t="s">
        <v>365</v>
      </c>
      <c r="E17" s="467" t="s">
        <v>327</v>
      </c>
      <c r="F17" s="566" t="s">
        <v>705</v>
      </c>
      <c r="H17" s="509" t="s">
        <v>461</v>
      </c>
      <c r="I17" s="510" t="str">
        <f>IF(AND($C$11=1,$C$7+$C$9+$C$10+$C$8+$C$12=0,$C$13=3),"ДА","НЕТ")</f>
        <v>НЕТ</v>
      </c>
      <c r="J17" s="420"/>
      <c r="K17" s="414">
        <f t="shared" si="0"/>
        <v>0</v>
      </c>
    </row>
    <row r="18" spans="1:11" ht="12.75" customHeight="1">
      <c r="B18" s="598" t="s">
        <v>439</v>
      </c>
      <c r="C18" s="558">
        <v>0</v>
      </c>
      <c r="D18" s="606" t="s">
        <v>365</v>
      </c>
      <c r="E18" s="460" t="s">
        <v>327</v>
      </c>
      <c r="F18" s="1055" t="s">
        <v>677</v>
      </c>
      <c r="H18" s="509" t="s">
        <v>462</v>
      </c>
      <c r="I18" s="510" t="str">
        <f>IF(AND($C$12=1,$C$7+$C$8+$C$9+$C$10+$C$11=0,$C$13=1),"ДА","НЕТ")</f>
        <v>НЕТ</v>
      </c>
      <c r="J18" s="420"/>
      <c r="K18" s="414">
        <f t="shared" si="0"/>
        <v>0</v>
      </c>
    </row>
    <row r="19" spans="1:11" ht="12">
      <c r="B19" s="614" t="s">
        <v>440</v>
      </c>
      <c r="C19" s="557">
        <v>0</v>
      </c>
      <c r="D19" s="463" t="s">
        <v>365</v>
      </c>
      <c r="E19" s="462" t="s">
        <v>327</v>
      </c>
      <c r="F19" s="1056"/>
      <c r="H19" s="512" t="s">
        <v>463</v>
      </c>
      <c r="I19" s="510" t="str">
        <f>IF(AND($C$12=1,$C$7+$C$8+$C$9+$C$10+$C$11=0,$C$13=1),"ДА","НЕТ")</f>
        <v>НЕТ</v>
      </c>
      <c r="J19" s="420"/>
      <c r="K19" s="414">
        <f t="shared" si="0"/>
        <v>0</v>
      </c>
    </row>
    <row r="20" spans="1:11" ht="12">
      <c r="B20" s="614" t="s">
        <v>546</v>
      </c>
      <c r="C20" s="557">
        <v>0</v>
      </c>
      <c r="D20" s="463" t="s">
        <v>365</v>
      </c>
      <c r="E20" s="462" t="s">
        <v>327</v>
      </c>
      <c r="F20" s="1056"/>
      <c r="H20" s="509" t="s">
        <v>467</v>
      </c>
      <c r="I20" s="510" t="str">
        <f>IF(AND($C$12=1,$C$7+$C$8+$C$9+$C$10+$C$11=0,$C$13=2),"ДА","НЕТ")</f>
        <v>НЕТ</v>
      </c>
      <c r="J20" s="420"/>
      <c r="K20" s="414">
        <f t="shared" si="0"/>
        <v>0</v>
      </c>
    </row>
    <row r="21" spans="1:11" ht="12.75" thickBot="1">
      <c r="B21" s="614" t="s">
        <v>545</v>
      </c>
      <c r="C21" s="557">
        <v>0</v>
      </c>
      <c r="D21" s="617" t="s">
        <v>365</v>
      </c>
      <c r="E21" s="467" t="s">
        <v>327</v>
      </c>
      <c r="F21" s="1057"/>
      <c r="H21" s="533" t="s">
        <v>468</v>
      </c>
      <c r="I21" s="534" t="str">
        <f>IF(AND($C$12=1,$C$7+$C$8+$C$9+$C$10+$C$11=0,$C$13=2),"ДА","НЕТ")</f>
        <v>НЕТ</v>
      </c>
      <c r="J21" s="427"/>
      <c r="K21" s="571">
        <f t="shared" si="0"/>
        <v>0</v>
      </c>
    </row>
    <row r="22" spans="1:11" ht="12" thickBot="1">
      <c r="B22" s="600" t="s">
        <v>483</v>
      </c>
      <c r="C22" s="561">
        <v>0</v>
      </c>
      <c r="D22" s="616" t="s">
        <v>365</v>
      </c>
      <c r="E22" s="469" t="s">
        <v>327</v>
      </c>
      <c r="F22" s="627"/>
    </row>
    <row r="23" spans="1:11">
      <c r="B23" s="503" t="s">
        <v>205</v>
      </c>
      <c r="C23" s="560">
        <v>0</v>
      </c>
      <c r="D23" s="1058" t="s">
        <v>766</v>
      </c>
      <c r="E23" s="1059"/>
      <c r="F23" s="1060"/>
    </row>
    <row r="24" spans="1:11">
      <c r="B24" s="513" t="s">
        <v>204</v>
      </c>
      <c r="C24" s="557">
        <v>0</v>
      </c>
      <c r="D24" s="1061" t="s">
        <v>767</v>
      </c>
      <c r="E24" s="1062"/>
      <c r="F24" s="1063"/>
    </row>
    <row r="25" spans="1:11" ht="12" thickBot="1">
      <c r="B25" s="508" t="s">
        <v>197</v>
      </c>
      <c r="C25" s="559">
        <v>0</v>
      </c>
      <c r="D25" s="1064" t="s">
        <v>768</v>
      </c>
      <c r="E25" s="1065"/>
      <c r="F25" s="1066"/>
    </row>
    <row r="26" spans="1:11" ht="12" thickBot="1">
      <c r="A26" s="87"/>
      <c r="B26" s="1072"/>
      <c r="C26" s="1072"/>
      <c r="D26" s="1072"/>
      <c r="E26" s="419"/>
      <c r="F26" s="490"/>
    </row>
    <row r="27" spans="1:11" ht="12.75">
      <c r="B27" s="473" t="s">
        <v>5</v>
      </c>
      <c r="C27" s="474" t="s">
        <v>0</v>
      </c>
      <c r="D27" s="605" t="s">
        <v>4</v>
      </c>
      <c r="E27" s="476" t="s">
        <v>8</v>
      </c>
      <c r="F27" s="411"/>
    </row>
    <row r="28" spans="1:11">
      <c r="B28" s="436" t="s">
        <v>643</v>
      </c>
      <c r="C28" s="442">
        <f>IF(AND(C15=0,C17=0),C20*(C4+C5+C6),0)</f>
        <v>0</v>
      </c>
      <c r="D28" s="449"/>
      <c r="E28" s="439">
        <f>C28*D28</f>
        <v>0</v>
      </c>
      <c r="F28" s="411"/>
    </row>
    <row r="29" spans="1:11">
      <c r="B29" s="436" t="s">
        <v>685</v>
      </c>
      <c r="C29" s="442">
        <f>IF(AND(C15=0,C17=0),C21*(C4+C5+C6),0)</f>
        <v>0</v>
      </c>
      <c r="D29" s="449"/>
      <c r="E29" s="439">
        <f>C29*D29</f>
        <v>0</v>
      </c>
      <c r="F29" s="411"/>
    </row>
    <row r="30" spans="1:11">
      <c r="B30" s="436" t="s">
        <v>686</v>
      </c>
      <c r="C30" s="442">
        <f>IF(AND(C15=1,C18=0),C21*(C4+C5+C6),0)</f>
        <v>0</v>
      </c>
      <c r="D30" s="449"/>
      <c r="E30" s="439">
        <f t="shared" ref="E30:E84" si="1">C30*D30</f>
        <v>0</v>
      </c>
      <c r="F30" s="411"/>
    </row>
    <row r="31" spans="1:11">
      <c r="B31" s="441" t="s">
        <v>546</v>
      </c>
      <c r="C31" s="442">
        <f>IF(AND(C15=0,C17=0),C20*C2*(C4+C5+C6))</f>
        <v>0</v>
      </c>
      <c r="D31" s="449"/>
      <c r="E31" s="439">
        <f>C31*D31</f>
        <v>0</v>
      </c>
      <c r="F31" s="411"/>
    </row>
    <row r="32" spans="1:11">
      <c r="B32" s="441" t="s">
        <v>696</v>
      </c>
      <c r="C32" s="442">
        <f>C21*C2*(C4+C5+C6)</f>
        <v>0</v>
      </c>
      <c r="D32" s="449"/>
      <c r="E32" s="439">
        <f t="shared" si="1"/>
        <v>0</v>
      </c>
      <c r="F32" s="419"/>
    </row>
    <row r="33" spans="2:6">
      <c r="B33" s="441" t="s">
        <v>442</v>
      </c>
      <c r="C33" s="442">
        <f>IF(AND(C15=0,C17=0),C18*C2*(C4+C5+C6))</f>
        <v>0</v>
      </c>
      <c r="D33" s="449"/>
      <c r="E33" s="439">
        <f t="shared" si="1"/>
        <v>0</v>
      </c>
      <c r="F33" s="411"/>
    </row>
    <row r="34" spans="2:6">
      <c r="B34" s="441" t="s">
        <v>443</v>
      </c>
      <c r="C34" s="442">
        <f>IF(AND(C15=0,C16=0),C19*C2*(C4+C5+C6+C7+C8+C9),0)</f>
        <v>0</v>
      </c>
      <c r="D34" s="449"/>
      <c r="E34" s="439">
        <f t="shared" si="1"/>
        <v>0</v>
      </c>
      <c r="F34" s="490"/>
    </row>
    <row r="35" spans="2:6">
      <c r="B35" s="436" t="s">
        <v>715</v>
      </c>
      <c r="C35" s="437">
        <f>IF(AND(C17=1,C15+C18+C19=0,C21=1),C17*(C4+C5+C6+C7+C8+C9),0)</f>
        <v>0</v>
      </c>
      <c r="D35" s="449"/>
      <c r="E35" s="439">
        <f t="shared" si="1"/>
        <v>0</v>
      </c>
      <c r="F35" s="490"/>
    </row>
    <row r="36" spans="2:6">
      <c r="B36" s="436" t="s">
        <v>490</v>
      </c>
      <c r="C36" s="437">
        <f>IF(C15+C17+C21=0,(C18+C19)*2*(C4+C5+C6+C7+C8+C9),0)</f>
        <v>0</v>
      </c>
      <c r="D36" s="449"/>
      <c r="E36" s="439">
        <f t="shared" si="1"/>
        <v>0</v>
      </c>
      <c r="F36" s="490"/>
    </row>
    <row r="37" spans="2:6">
      <c r="B37" s="441" t="s">
        <v>613</v>
      </c>
      <c r="C37" s="442">
        <f>EVEN(ROUNDDOWN(IF(AND((C4+C5+C6)&gt;0.9,C22=0),((C4+C5+C6)*C2/0.5),0),0))</f>
        <v>0</v>
      </c>
      <c r="D37" s="449"/>
      <c r="E37" s="439">
        <f t="shared" si="1"/>
        <v>0</v>
      </c>
      <c r="F37" s="411"/>
    </row>
    <row r="38" spans="2:6">
      <c r="B38" s="441" t="s">
        <v>614</v>
      </c>
      <c r="C38" s="442">
        <f>EVEN(ROUNDDOWN(IF(AND((C4+C5+C6)&gt;0.9,C15=0,C17=1),((C4+C5+C6)*C3*2/0.5),0),0))</f>
        <v>0</v>
      </c>
      <c r="D38" s="449"/>
      <c r="E38" s="439">
        <f>C38*D38</f>
        <v>0</v>
      </c>
      <c r="F38" s="411"/>
    </row>
    <row r="39" spans="2:6">
      <c r="B39" s="441" t="s">
        <v>763</v>
      </c>
      <c r="C39" s="442">
        <f>(C4+C5+C6)*2</f>
        <v>0</v>
      </c>
      <c r="D39" s="449"/>
      <c r="E39" s="439">
        <f t="shared" si="1"/>
        <v>0</v>
      </c>
      <c r="F39" s="411"/>
    </row>
    <row r="40" spans="2:6">
      <c r="B40" s="441" t="s">
        <v>560</v>
      </c>
      <c r="C40" s="442">
        <f>(C4+C6)*C2</f>
        <v>0</v>
      </c>
      <c r="D40" s="449"/>
      <c r="E40" s="439">
        <f t="shared" si="1"/>
        <v>0</v>
      </c>
      <c r="F40" s="411"/>
    </row>
    <row r="41" spans="2:6">
      <c r="B41" s="441" t="s">
        <v>557</v>
      </c>
      <c r="C41" s="442">
        <f>C19*2*C2*(C4+C5+C6)</f>
        <v>0</v>
      </c>
      <c r="D41" s="449"/>
      <c r="E41" s="439">
        <f t="shared" si="1"/>
        <v>0</v>
      </c>
      <c r="F41" s="411"/>
    </row>
    <row r="42" spans="2:6">
      <c r="B42" s="441" t="s">
        <v>556</v>
      </c>
      <c r="C42" s="442">
        <f>(C21+C18)*C2*(C4+C5+C6)</f>
        <v>0</v>
      </c>
      <c r="D42" s="449"/>
      <c r="E42" s="439">
        <f t="shared" si="1"/>
        <v>0</v>
      </c>
      <c r="F42" s="411"/>
    </row>
    <row r="43" spans="2:6">
      <c r="B43" s="436" t="s">
        <v>553</v>
      </c>
      <c r="C43" s="437">
        <f>(C5+C20)*C2</f>
        <v>0</v>
      </c>
      <c r="D43" s="449"/>
      <c r="E43" s="439">
        <f t="shared" si="1"/>
        <v>0</v>
      </c>
      <c r="F43" s="411"/>
    </row>
    <row r="44" spans="2:6">
      <c r="B44" s="441" t="s">
        <v>605</v>
      </c>
      <c r="C44" s="442">
        <f>C4*C2</f>
        <v>0</v>
      </c>
      <c r="D44" s="449"/>
      <c r="E44" s="439">
        <f>C44*D44</f>
        <v>0</v>
      </c>
      <c r="F44" s="411"/>
    </row>
    <row r="45" spans="2:6">
      <c r="B45" s="436" t="s">
        <v>530</v>
      </c>
      <c r="C45" s="442">
        <f>C2*C5</f>
        <v>0</v>
      </c>
      <c r="D45" s="449"/>
      <c r="E45" s="439">
        <f t="shared" si="1"/>
        <v>0</v>
      </c>
      <c r="F45" s="411"/>
    </row>
    <row r="46" spans="2:6">
      <c r="B46" s="436" t="s">
        <v>529</v>
      </c>
      <c r="C46" s="437">
        <f>C2*C6</f>
        <v>0</v>
      </c>
      <c r="D46" s="449"/>
      <c r="E46" s="439">
        <f t="shared" si="1"/>
        <v>0</v>
      </c>
      <c r="F46" s="411"/>
    </row>
    <row r="47" spans="2:6">
      <c r="B47" s="441" t="s">
        <v>558</v>
      </c>
      <c r="C47" s="442">
        <f>C6+C5+C4</f>
        <v>0</v>
      </c>
      <c r="D47" s="449"/>
      <c r="E47" s="439">
        <f t="shared" si="1"/>
        <v>0</v>
      </c>
      <c r="F47" s="411"/>
    </row>
    <row r="48" spans="2:6">
      <c r="B48" s="441" t="s">
        <v>549</v>
      </c>
      <c r="C48" s="442">
        <f>C6</f>
        <v>0</v>
      </c>
      <c r="D48" s="449"/>
      <c r="E48" s="439">
        <f t="shared" si="1"/>
        <v>0</v>
      </c>
      <c r="F48" s="411"/>
    </row>
    <row r="49" spans="2:6">
      <c r="B49" s="441" t="s">
        <v>445</v>
      </c>
      <c r="C49" s="442">
        <f>C5</f>
        <v>0</v>
      </c>
      <c r="D49" s="449"/>
      <c r="E49" s="439">
        <f t="shared" si="1"/>
        <v>0</v>
      </c>
      <c r="F49" s="411"/>
    </row>
    <row r="50" spans="2:6">
      <c r="B50" s="441" t="s">
        <v>764</v>
      </c>
      <c r="C50" s="442">
        <f>(C4+C6+C5)*2</f>
        <v>0</v>
      </c>
      <c r="D50" s="449"/>
      <c r="E50" s="439">
        <f t="shared" si="1"/>
        <v>0</v>
      </c>
      <c r="F50" s="419"/>
    </row>
    <row r="51" spans="2:6">
      <c r="B51" s="452" t="s">
        <v>533</v>
      </c>
      <c r="C51" s="495">
        <f>C5+C4</f>
        <v>0</v>
      </c>
      <c r="D51" s="449"/>
      <c r="E51" s="496">
        <f t="shared" si="1"/>
        <v>0</v>
      </c>
      <c r="F51" s="411"/>
    </row>
    <row r="52" spans="2:6">
      <c r="B52" s="452" t="s">
        <v>453</v>
      </c>
      <c r="C52" s="495">
        <f>(C8+C7)*(C4+C5)</f>
        <v>0</v>
      </c>
      <c r="D52" s="449"/>
      <c r="E52" s="496">
        <f t="shared" si="1"/>
        <v>0</v>
      </c>
      <c r="F52" s="411"/>
    </row>
    <row r="53" spans="2:6">
      <c r="B53" s="452" t="s">
        <v>577</v>
      </c>
      <c r="C53" s="495">
        <f>C8*C5</f>
        <v>0</v>
      </c>
      <c r="D53" s="449"/>
      <c r="E53" s="496">
        <f t="shared" si="1"/>
        <v>0</v>
      </c>
      <c r="F53" s="411"/>
    </row>
    <row r="54" spans="2:6">
      <c r="B54" s="452" t="s">
        <v>455</v>
      </c>
      <c r="C54" s="495">
        <f>C9*C6</f>
        <v>0</v>
      </c>
      <c r="D54" s="449"/>
      <c r="E54" s="496">
        <f t="shared" si="1"/>
        <v>0</v>
      </c>
      <c r="F54" s="411"/>
    </row>
    <row r="55" spans="2:6">
      <c r="B55" s="452" t="s">
        <v>608</v>
      </c>
      <c r="C55" s="495">
        <f>(C7+C10)*C4</f>
        <v>0</v>
      </c>
      <c r="D55" s="449"/>
      <c r="E55" s="496">
        <f>C55*D55</f>
        <v>0</v>
      </c>
      <c r="F55" s="411"/>
    </row>
    <row r="56" spans="2:6">
      <c r="B56" s="452" t="s">
        <v>456</v>
      </c>
      <c r="C56" s="495">
        <f>C9*C6</f>
        <v>0</v>
      </c>
      <c r="D56" s="449"/>
      <c r="E56" s="496">
        <f t="shared" si="1"/>
        <v>0</v>
      </c>
      <c r="F56" s="411"/>
    </row>
    <row r="57" spans="2:6">
      <c r="B57" s="452" t="s">
        <v>458</v>
      </c>
      <c r="C57" s="495">
        <f>C11*C5</f>
        <v>0</v>
      </c>
      <c r="D57" s="449"/>
      <c r="E57" s="496">
        <f t="shared" si="1"/>
        <v>0</v>
      </c>
      <c r="F57" s="411"/>
    </row>
    <row r="58" spans="2:6">
      <c r="B58" s="452" t="s">
        <v>609</v>
      </c>
      <c r="C58" s="495">
        <f>(C11+C8)*C5</f>
        <v>0</v>
      </c>
      <c r="D58" s="449"/>
      <c r="E58" s="496">
        <f t="shared" si="1"/>
        <v>0</v>
      </c>
      <c r="F58" s="411"/>
    </row>
    <row r="59" spans="2:6">
      <c r="B59" s="452" t="s">
        <v>465</v>
      </c>
      <c r="C59" s="495">
        <f>C12*C6</f>
        <v>0</v>
      </c>
      <c r="D59" s="449"/>
      <c r="E59" s="496">
        <f t="shared" si="1"/>
        <v>0</v>
      </c>
      <c r="F59" s="411"/>
    </row>
    <row r="60" spans="2:6">
      <c r="B60" s="452" t="s">
        <v>466</v>
      </c>
      <c r="C60" s="495">
        <f>C12*C6</f>
        <v>0</v>
      </c>
      <c r="D60" s="449"/>
      <c r="E60" s="496">
        <f t="shared" si="1"/>
        <v>0</v>
      </c>
      <c r="F60" s="411"/>
    </row>
    <row r="61" spans="2:6">
      <c r="B61" s="441" t="s">
        <v>710</v>
      </c>
      <c r="C61" s="442">
        <f>C2*(C4+C5+C6)</f>
        <v>0</v>
      </c>
      <c r="D61" s="443"/>
      <c r="E61" s="439">
        <f t="shared" si="1"/>
        <v>0</v>
      </c>
      <c r="F61" s="411"/>
    </row>
    <row r="62" spans="2:6">
      <c r="B62" s="601" t="s">
        <v>711</v>
      </c>
      <c r="C62" s="602">
        <f>C2*(C4+C5+C6)</f>
        <v>0</v>
      </c>
      <c r="D62" s="449"/>
      <c r="E62" s="496">
        <f t="shared" si="1"/>
        <v>0</v>
      </c>
      <c r="F62" s="411"/>
    </row>
    <row r="63" spans="2:6">
      <c r="B63" s="601" t="s">
        <v>712</v>
      </c>
      <c r="C63" s="602">
        <f>C4+C5+C6</f>
        <v>0</v>
      </c>
      <c r="D63" s="449"/>
      <c r="E63" s="496">
        <f t="shared" si="1"/>
        <v>0</v>
      </c>
      <c r="F63" s="411"/>
    </row>
    <row r="64" spans="2:6">
      <c r="B64" s="601" t="s">
        <v>713</v>
      </c>
      <c r="C64" s="602">
        <f>C4+C5+C6</f>
        <v>0</v>
      </c>
      <c r="D64" s="618"/>
      <c r="E64" s="496">
        <f t="shared" si="1"/>
        <v>0</v>
      </c>
      <c r="F64" s="453"/>
    </row>
    <row r="65" spans="2:6">
      <c r="B65" s="436" t="s">
        <v>716</v>
      </c>
      <c r="C65" s="437">
        <f>IF(C17=1,C4+C5+C6,0)</f>
        <v>0</v>
      </c>
      <c r="D65" s="449"/>
      <c r="E65" s="496">
        <f t="shared" si="1"/>
        <v>0</v>
      </c>
      <c r="F65" s="453"/>
    </row>
    <row r="66" spans="2:6">
      <c r="B66" s="601" t="s">
        <v>765</v>
      </c>
      <c r="C66" s="602">
        <f>(C4+C5+C6)*2</f>
        <v>0</v>
      </c>
      <c r="D66" s="618"/>
      <c r="E66" s="496">
        <f t="shared" si="1"/>
        <v>0</v>
      </c>
      <c r="F66" s="453"/>
    </row>
    <row r="67" spans="2:6">
      <c r="B67" s="436" t="s">
        <v>717</v>
      </c>
      <c r="C67" s="437">
        <f>IF(C17=1,C3*2*(C4+C5+C6),0)</f>
        <v>0</v>
      </c>
      <c r="D67" s="449"/>
      <c r="E67" s="496">
        <f t="shared" si="1"/>
        <v>0</v>
      </c>
      <c r="F67" s="453"/>
    </row>
    <row r="68" spans="2:6">
      <c r="B68" s="436" t="s">
        <v>718</v>
      </c>
      <c r="C68" s="437">
        <f>IF(C17=1,C4+C5+C6,0)</f>
        <v>0</v>
      </c>
      <c r="D68" s="449"/>
      <c r="E68" s="496">
        <f t="shared" si="1"/>
        <v>0</v>
      </c>
      <c r="F68" s="453"/>
    </row>
    <row r="69" spans="2:6">
      <c r="B69" s="436" t="s">
        <v>719</v>
      </c>
      <c r="C69" s="437">
        <f>IF(C17=1,C3*2*(C4+C5+C6),0)</f>
        <v>0</v>
      </c>
      <c r="D69" s="449"/>
      <c r="E69" s="496">
        <f t="shared" si="1"/>
        <v>0</v>
      </c>
      <c r="F69" s="453"/>
    </row>
    <row r="70" spans="2:6">
      <c r="B70" s="436" t="s">
        <v>720</v>
      </c>
      <c r="C70" s="437">
        <f>IF(C16=1,C2*(C4+C5+C6),0)</f>
        <v>0</v>
      </c>
      <c r="D70" s="449"/>
      <c r="E70" s="496">
        <f>C70*D70</f>
        <v>0</v>
      </c>
      <c r="F70" s="453"/>
    </row>
    <row r="71" spans="2:6">
      <c r="B71" s="436" t="s">
        <v>564</v>
      </c>
      <c r="C71" s="437">
        <f>C2*(C4+C5+C6)</f>
        <v>0</v>
      </c>
      <c r="D71" s="449"/>
      <c r="E71" s="496">
        <f t="shared" si="1"/>
        <v>0</v>
      </c>
      <c r="F71" s="453"/>
    </row>
    <row r="72" spans="2:6">
      <c r="B72" s="436" t="s">
        <v>536</v>
      </c>
      <c r="C72" s="437">
        <f>IF(C16=1,C2*(C4+C5+C6),0)</f>
        <v>0</v>
      </c>
      <c r="D72" s="449"/>
      <c r="E72" s="496">
        <f t="shared" si="1"/>
        <v>0</v>
      </c>
      <c r="F72" s="453"/>
    </row>
    <row r="73" spans="2:6">
      <c r="B73" s="441" t="s">
        <v>536</v>
      </c>
      <c r="C73" s="442">
        <f>IF(C17=1,C3*4*(C4+C5+C6),0)</f>
        <v>0</v>
      </c>
      <c r="D73" s="449"/>
      <c r="E73" s="496">
        <f t="shared" si="1"/>
        <v>0</v>
      </c>
      <c r="F73" s="453"/>
    </row>
    <row r="74" spans="2:6">
      <c r="B74" s="441" t="s">
        <v>615</v>
      </c>
      <c r="C74" s="442">
        <f>IF(AND(C17=1,C14=1),((C3*2)+C2)*(C4+C5+C6),0)</f>
        <v>0</v>
      </c>
      <c r="D74" s="449"/>
      <c r="E74" s="496">
        <f>C74*D74</f>
        <v>0</v>
      </c>
      <c r="F74" s="453"/>
    </row>
    <row r="75" spans="2:6">
      <c r="B75" s="441" t="s">
        <v>447</v>
      </c>
      <c r="C75" s="442">
        <f>C15*((C3*2)+C2+0.3)*(C4+C5+C6)</f>
        <v>0</v>
      </c>
      <c r="D75" s="449"/>
      <c r="E75" s="496">
        <f t="shared" si="1"/>
        <v>0</v>
      </c>
      <c r="F75" s="453"/>
    </row>
    <row r="76" spans="2:6">
      <c r="B76" s="441" t="s">
        <v>448</v>
      </c>
      <c r="C76" s="442">
        <f>C15*2*(C4+C5+C6)</f>
        <v>0</v>
      </c>
      <c r="D76" s="449"/>
      <c r="E76" s="496">
        <f t="shared" si="1"/>
        <v>0</v>
      </c>
      <c r="F76" s="453"/>
    </row>
    <row r="77" spans="2:6">
      <c r="B77" s="441" t="s">
        <v>449</v>
      </c>
      <c r="C77" s="442">
        <f>C15*(C4+C5+C6)</f>
        <v>0</v>
      </c>
      <c r="D77" s="449"/>
      <c r="E77" s="496">
        <f t="shared" si="1"/>
        <v>0</v>
      </c>
      <c r="F77" s="453"/>
    </row>
    <row r="78" spans="2:6">
      <c r="B78" s="441" t="s">
        <v>537</v>
      </c>
      <c r="C78" s="442">
        <f>C15*2*(C4+C5+C6)</f>
        <v>0</v>
      </c>
      <c r="D78" s="449"/>
      <c r="E78" s="496">
        <f t="shared" si="1"/>
        <v>0</v>
      </c>
      <c r="F78" s="453"/>
    </row>
    <row r="79" spans="2:6">
      <c r="B79" s="441" t="s">
        <v>532</v>
      </c>
      <c r="C79" s="442">
        <f>C15*2*(C4+C5+C6)</f>
        <v>0</v>
      </c>
      <c r="D79" s="449"/>
      <c r="E79" s="496">
        <f t="shared" si="1"/>
        <v>0</v>
      </c>
      <c r="F79" s="453"/>
    </row>
    <row r="80" spans="2:6">
      <c r="B80" s="441" t="s">
        <v>414</v>
      </c>
      <c r="C80" s="442">
        <f>C15*(C4+C5+C6)</f>
        <v>0</v>
      </c>
      <c r="D80" s="449"/>
      <c r="E80" s="496">
        <f t="shared" si="1"/>
        <v>0</v>
      </c>
      <c r="F80" s="453"/>
    </row>
    <row r="81" spans="2:7">
      <c r="B81" s="621" t="s">
        <v>203</v>
      </c>
      <c r="C81" s="602">
        <f>C24</f>
        <v>0</v>
      </c>
      <c r="D81" s="618"/>
      <c r="E81" s="496">
        <f t="shared" si="1"/>
        <v>0</v>
      </c>
      <c r="F81" s="453"/>
    </row>
    <row r="82" spans="2:7">
      <c r="B82" s="621" t="s">
        <v>206</v>
      </c>
      <c r="C82" s="602">
        <f>C23</f>
        <v>0</v>
      </c>
      <c r="D82" s="618"/>
      <c r="E82" s="496">
        <f t="shared" si="1"/>
        <v>0</v>
      </c>
      <c r="F82" s="453"/>
    </row>
    <row r="83" spans="2:7">
      <c r="B83" s="621" t="s">
        <v>769</v>
      </c>
      <c r="C83" s="602">
        <f>C25</f>
        <v>0</v>
      </c>
      <c r="D83" s="618"/>
      <c r="E83" s="496">
        <f t="shared" si="1"/>
        <v>0</v>
      </c>
      <c r="F83" s="453"/>
    </row>
    <row r="84" spans="2:7" ht="12" thickBot="1">
      <c r="B84" s="603" t="s">
        <v>714</v>
      </c>
      <c r="C84" s="604">
        <f>EVEN(ROUNDDOWN(IF(C22=1,((C4+C5+C6)*C2/0.5),0),0))</f>
        <v>0</v>
      </c>
      <c r="D84" s="569"/>
      <c r="E84" s="500">
        <f t="shared" si="1"/>
        <v>0</v>
      </c>
      <c r="F84" s="453"/>
    </row>
    <row r="85" spans="2:7" ht="13.5" thickBot="1">
      <c r="B85" s="411"/>
      <c r="C85" s="411"/>
      <c r="D85" s="480" t="s">
        <v>9</v>
      </c>
      <c r="E85" s="485">
        <f>SUMIF(E28:E84,"&gt;0",E28:E84)</f>
        <v>0</v>
      </c>
      <c r="F85" s="453"/>
      <c r="G85" s="338"/>
    </row>
    <row r="86" spans="2:7" ht="12" customHeight="1"/>
    <row r="87" spans="2:7" ht="11.25" customHeight="1"/>
    <row r="88" spans="2:7" ht="11.25" customHeight="1"/>
    <row r="89" spans="2:7" ht="11.25" customHeight="1"/>
    <row r="90" spans="2:7" ht="11.25" customHeight="1"/>
    <row r="91" spans="2:7" ht="11.25" customHeight="1"/>
    <row r="92" spans="2:7" ht="11.25" customHeight="1"/>
    <row r="93" spans="2:7" ht="11.25" customHeight="1"/>
    <row r="94" spans="2:7" ht="11.25" customHeight="1"/>
    <row r="95" spans="2:7" ht="11.25" customHeight="1"/>
    <row r="96" spans="2:7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2" customHeight="1"/>
    <row r="106" ht="11.25" customHeight="1"/>
    <row r="107" ht="11.25" customHeight="1"/>
    <row r="108" ht="11.25" customHeight="1"/>
    <row r="109" ht="11.25" customHeight="1"/>
    <row r="110" ht="11.25" customHeight="1"/>
  </sheetData>
  <sheetProtection algorithmName="SHA-512" hashValue="LoxnQX7YU9LvQ7+2B7X3G/AuiK6yXvya2uH5AOo8yrKcjzpr2JnRmXpoiOvIgJ8XmST1RWyV0mjY43Qz4Qs0qw==" saltValue="e+/8RWdJTnNA/V6tiA7I+Q==" spinCount="100000" sheet="1"/>
  <mergeCells count="9">
    <mergeCell ref="B26:D26"/>
    <mergeCell ref="F7:F12"/>
    <mergeCell ref="F18:F21"/>
    <mergeCell ref="B1:D1"/>
    <mergeCell ref="D2:F3"/>
    <mergeCell ref="D4:F6"/>
    <mergeCell ref="D23:F23"/>
    <mergeCell ref="D24:F24"/>
    <mergeCell ref="D25:F25"/>
  </mergeCells>
  <conditionalFormatting sqref="C13">
    <cfRule type="cellIs" dxfId="440" priority="11" operator="greaterThan">
      <formula>0</formula>
    </cfRule>
  </conditionalFormatting>
  <conditionalFormatting sqref="C13">
    <cfRule type="cellIs" dxfId="439" priority="12" operator="greaterThan">
      <formula>0</formula>
    </cfRule>
  </conditionalFormatting>
  <conditionalFormatting sqref="C13">
    <cfRule type="cellIs" dxfId="438" priority="10" operator="greaterThan">
      <formula>0</formula>
    </cfRule>
  </conditionalFormatting>
  <conditionalFormatting sqref="I3:I21">
    <cfRule type="cellIs" dxfId="437" priority="6" operator="equal">
      <formula>"ДА"</formula>
    </cfRule>
    <cfRule type="cellIs" dxfId="436" priority="7" operator="equal">
      <formula>"НЕТ"</formula>
    </cfRule>
  </conditionalFormatting>
  <conditionalFormatting sqref="I3:I21">
    <cfRule type="colorScale" priority="8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3:K21 C28:E80">
    <cfRule type="cellIs" dxfId="435" priority="9" operator="greaterThan">
      <formula>0</formula>
    </cfRule>
  </conditionalFormatting>
  <conditionalFormatting sqref="C2:C22">
    <cfRule type="cellIs" dxfId="434" priority="5" operator="greaterThan">
      <formula>0</formula>
    </cfRule>
  </conditionalFormatting>
  <conditionalFormatting sqref="C84:E84">
    <cfRule type="cellIs" dxfId="433" priority="4" operator="greaterThan">
      <formula>0</formula>
    </cfRule>
  </conditionalFormatting>
  <conditionalFormatting sqref="E85">
    <cfRule type="cellIs" dxfId="432" priority="3" operator="greaterThan">
      <formula>0</formula>
    </cfRule>
  </conditionalFormatting>
  <conditionalFormatting sqref="C23:C25">
    <cfRule type="cellIs" dxfId="431" priority="2" operator="greaterThan">
      <formula>0</formula>
    </cfRule>
  </conditionalFormatting>
  <conditionalFormatting sqref="C81:E83">
    <cfRule type="cellIs" dxfId="43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O102"/>
  <sheetViews>
    <sheetView workbookViewId="0">
      <pane ySplit="28" topLeftCell="A68" activePane="bottomLeft" state="frozen"/>
      <selection pane="bottomLeft" activeCell="H81" sqref="H81"/>
    </sheetView>
  </sheetViews>
  <sheetFormatPr defaultRowHeight="11.25"/>
  <cols>
    <col min="2" max="2" width="58.6640625" customWidth="1"/>
    <col min="4" max="4" width="12.6640625" customWidth="1"/>
    <col min="5" max="5" width="12.83203125" customWidth="1"/>
    <col min="6" max="6" width="26.6640625" customWidth="1"/>
    <col min="7" max="7" width="7.33203125" customWidth="1"/>
    <col min="8" max="8" width="50" customWidth="1"/>
    <col min="9" max="9" width="4.6640625" customWidth="1"/>
    <col min="12" max="12" width="15.6640625" customWidth="1"/>
    <col min="13" max="13" width="19" customWidth="1"/>
  </cols>
  <sheetData>
    <row r="1" spans="2:15" ht="57.75" customHeight="1" thickBot="1">
      <c r="B1" s="410"/>
      <c r="C1" s="410"/>
      <c r="D1" s="410"/>
      <c r="E1" s="410"/>
      <c r="F1" s="387"/>
    </row>
    <row r="2" spans="2:15" ht="12" customHeight="1" thickBot="1">
      <c r="B2" s="628" t="s">
        <v>10</v>
      </c>
      <c r="C2" s="635">
        <v>0</v>
      </c>
      <c r="D2" s="1074" t="s">
        <v>675</v>
      </c>
      <c r="E2" s="1075"/>
      <c r="F2" s="1076"/>
      <c r="G2" s="411"/>
      <c r="H2" s="477" t="s">
        <v>565</v>
      </c>
      <c r="I2" s="489" t="s">
        <v>684</v>
      </c>
      <c r="J2" s="478" t="s">
        <v>4</v>
      </c>
      <c r="K2" s="479" t="s">
        <v>8</v>
      </c>
      <c r="L2" s="403"/>
      <c r="M2" s="403"/>
    </row>
    <row r="3" spans="2:15" ht="12" customHeight="1" thickBot="1">
      <c r="B3" s="629" t="s">
        <v>1</v>
      </c>
      <c r="C3" s="636">
        <v>0</v>
      </c>
      <c r="D3" s="1077"/>
      <c r="E3" s="1078"/>
      <c r="F3" s="1079"/>
      <c r="G3" s="411"/>
      <c r="H3" s="412" t="s">
        <v>569</v>
      </c>
      <c r="I3" s="486" t="str">
        <f>IF(AND($C$10+$C$11+$C$12=1,$C$13+$C$14+$C$15=0,C16=1),"ДА","НЕТ")</f>
        <v>НЕТ</v>
      </c>
      <c r="J3" s="413"/>
      <c r="K3" s="414">
        <f>IF(I3="ДА",($C$4+$C$5+$C$6+$C$7+$C$8+$C$9)*J3,0)</f>
        <v>0</v>
      </c>
      <c r="L3" s="403"/>
      <c r="M3" s="403"/>
    </row>
    <row r="4" spans="2:15" ht="12" customHeight="1">
      <c r="B4" s="628" t="s">
        <v>492</v>
      </c>
      <c r="C4" s="637">
        <v>0</v>
      </c>
      <c r="D4" s="1080" t="s">
        <v>676</v>
      </c>
      <c r="E4" s="1048"/>
      <c r="F4" s="1049"/>
      <c r="G4" s="415"/>
      <c r="H4" s="416" t="s">
        <v>566</v>
      </c>
      <c r="I4" s="487" t="str">
        <f>IF(AND($C$10+$C$11+$C$12=1,$C$13+$C$14+$C$15=0,C16=3),"ДА","НЕТ")</f>
        <v>НЕТ</v>
      </c>
      <c r="J4" s="417"/>
      <c r="K4" s="414">
        <f t="shared" ref="K4:K19" si="0">IF(I4="ДА",($C$4+$C$5+$C$6+$C$7+$C$8+$C$9)*J4,0)</f>
        <v>0</v>
      </c>
      <c r="L4" s="337"/>
      <c r="M4" s="337"/>
      <c r="N4" s="337"/>
      <c r="O4" s="337"/>
    </row>
    <row r="5" spans="2:15" ht="12" customHeight="1">
      <c r="B5" s="630" t="s">
        <v>493</v>
      </c>
      <c r="C5" s="638">
        <v>0</v>
      </c>
      <c r="D5" s="1081"/>
      <c r="E5" s="1053"/>
      <c r="F5" s="1054"/>
      <c r="G5" s="411"/>
      <c r="H5" s="416" t="s">
        <v>671</v>
      </c>
      <c r="I5" s="487" t="str">
        <f>IF(AND($C$10+$C$11+$C$12=1,$C$13+$C$14+$C$15=0,C16=3),"ДА","НЕТ")</f>
        <v>НЕТ</v>
      </c>
      <c r="J5" s="417"/>
      <c r="K5" s="414">
        <f t="shared" si="0"/>
        <v>0</v>
      </c>
    </row>
    <row r="6" spans="2:15" ht="12" customHeight="1">
      <c r="B6" s="630" t="s">
        <v>666</v>
      </c>
      <c r="C6" s="638">
        <v>0</v>
      </c>
      <c r="D6" s="1081"/>
      <c r="E6" s="1053"/>
      <c r="F6" s="1054"/>
      <c r="G6" s="411"/>
      <c r="H6" s="416" t="s">
        <v>567</v>
      </c>
      <c r="I6" s="487" t="str">
        <f>IF(AND($C$10+$C$11+$C$12=1,$C$13+$C$14+$C$15=0,C16=2),"ДА","НЕТ")</f>
        <v>НЕТ</v>
      </c>
      <c r="J6" s="417"/>
      <c r="K6" s="414">
        <f t="shared" si="0"/>
        <v>0</v>
      </c>
    </row>
    <row r="7" spans="2:15" ht="12" customHeight="1">
      <c r="B7" s="632" t="s">
        <v>494</v>
      </c>
      <c r="C7" s="640">
        <v>0</v>
      </c>
      <c r="D7" s="1081"/>
      <c r="E7" s="1053"/>
      <c r="F7" s="1054"/>
      <c r="G7" s="411"/>
      <c r="H7" s="416" t="s">
        <v>568</v>
      </c>
      <c r="I7" s="487" t="str">
        <f>IF(AND($C$10+$C$11+$C$12=1,$C$13+$C$14+$C$15=0,C16=2),"ДА","НЕТ")</f>
        <v>НЕТ</v>
      </c>
      <c r="J7" s="417"/>
      <c r="K7" s="414">
        <f t="shared" si="0"/>
        <v>0</v>
      </c>
    </row>
    <row r="8" spans="2:15" ht="12" customHeight="1">
      <c r="B8" s="630" t="s">
        <v>495</v>
      </c>
      <c r="C8" s="638">
        <v>0</v>
      </c>
      <c r="D8" s="1081"/>
      <c r="E8" s="1053"/>
      <c r="F8" s="1054"/>
      <c r="G8" s="411"/>
      <c r="H8" s="416" t="s">
        <v>574</v>
      </c>
      <c r="I8" s="487" t="str">
        <f>IF(AND($C$10+$C$11+$C$12=1,$C$13+$C$14+$C$15=0,C16=2),"ДА","НЕТ")</f>
        <v>НЕТ</v>
      </c>
      <c r="J8" s="417"/>
      <c r="K8" s="414">
        <f t="shared" si="0"/>
        <v>0</v>
      </c>
    </row>
    <row r="9" spans="2:15" ht="12" customHeight="1" thickBot="1">
      <c r="B9" s="631" t="s">
        <v>665</v>
      </c>
      <c r="C9" s="639">
        <v>0</v>
      </c>
      <c r="D9" s="1082"/>
      <c r="E9" s="1051"/>
      <c r="F9" s="1052"/>
      <c r="G9" s="411"/>
      <c r="H9" s="412" t="s">
        <v>670</v>
      </c>
      <c r="I9" s="487" t="str">
        <f>IF(AND($C$12=1,$C$13+$C$14+$C$15+$C$10+$C$11=0,C16=1),"ДА","НЕТ")</f>
        <v>НЕТ</v>
      </c>
      <c r="J9" s="413"/>
      <c r="K9" s="414">
        <f t="shared" si="0"/>
        <v>0</v>
      </c>
    </row>
    <row r="10" spans="2:15" ht="12" customHeight="1">
      <c r="B10" s="628" t="s">
        <v>578</v>
      </c>
      <c r="C10" s="637">
        <v>0</v>
      </c>
      <c r="D10" s="459" t="s">
        <v>365</v>
      </c>
      <c r="E10" s="460" t="s">
        <v>327</v>
      </c>
      <c r="F10" s="1055" t="s">
        <v>676</v>
      </c>
      <c r="G10" s="419"/>
      <c r="H10" s="412" t="s">
        <v>462</v>
      </c>
      <c r="I10" s="487" t="str">
        <f>IF(AND($C$10+$C$11+$C$12+$C$15=0,$C$13+$C$14=1,C16=1),"ДА","НЕТ")</f>
        <v>НЕТ</v>
      </c>
      <c r="J10" s="420"/>
      <c r="K10" s="414">
        <f t="shared" si="0"/>
        <v>0</v>
      </c>
      <c r="L10" s="87"/>
      <c r="M10" s="87"/>
      <c r="N10" s="87"/>
    </row>
    <row r="11" spans="2:15" ht="12" customHeight="1">
      <c r="B11" s="630" t="s">
        <v>579</v>
      </c>
      <c r="C11" s="638">
        <v>0</v>
      </c>
      <c r="D11" s="461" t="s">
        <v>365</v>
      </c>
      <c r="E11" s="462" t="s">
        <v>327</v>
      </c>
      <c r="F11" s="1056"/>
      <c r="G11" s="411"/>
      <c r="H11" s="422" t="s">
        <v>463</v>
      </c>
      <c r="I11" s="487" t="str">
        <f>IF(AND($C$10+$C$11+$C$12+$C$15=0,$C$13+$C$14=1,C16=1),"ДА","НЕТ")</f>
        <v>НЕТ</v>
      </c>
      <c r="J11" s="420"/>
      <c r="K11" s="414">
        <f t="shared" si="0"/>
        <v>0</v>
      </c>
    </row>
    <row r="12" spans="2:15" ht="12" customHeight="1">
      <c r="B12" s="630" t="s">
        <v>667</v>
      </c>
      <c r="C12" s="638">
        <v>0</v>
      </c>
      <c r="D12" s="461" t="s">
        <v>365</v>
      </c>
      <c r="E12" s="463" t="s">
        <v>327</v>
      </c>
      <c r="F12" s="1056"/>
      <c r="G12" s="411"/>
      <c r="H12" s="422" t="s">
        <v>464</v>
      </c>
      <c r="I12" s="487" t="str">
        <f>IF(AND($C$10+$C$11+$C$12+$C$15=0,$C$13+$C$14=1,C16=1),"ДА","НЕТ")</f>
        <v>НЕТ</v>
      </c>
      <c r="J12" s="423"/>
      <c r="K12" s="414">
        <f t="shared" si="0"/>
        <v>0</v>
      </c>
    </row>
    <row r="13" spans="2:15" ht="12" customHeight="1">
      <c r="B13" s="632" t="s">
        <v>580</v>
      </c>
      <c r="C13" s="640">
        <v>0</v>
      </c>
      <c r="D13" s="464" t="s">
        <v>365</v>
      </c>
      <c r="E13" s="465" t="s">
        <v>327</v>
      </c>
      <c r="F13" s="1056"/>
      <c r="G13" s="411"/>
      <c r="H13" s="422" t="s">
        <v>672</v>
      </c>
      <c r="I13" s="487" t="str">
        <f>IF(AND($C$10+$C$11+$C$12+$C$13+$C$14=0,$C$15=1,C16=1),"ДА","НЕТ")</f>
        <v>НЕТ</v>
      </c>
      <c r="J13" s="423"/>
      <c r="K13" s="414">
        <f t="shared" si="0"/>
        <v>0</v>
      </c>
    </row>
    <row r="14" spans="2:15" ht="12" customHeight="1">
      <c r="B14" s="630" t="s">
        <v>581</v>
      </c>
      <c r="C14" s="638">
        <v>0</v>
      </c>
      <c r="D14" s="461" t="s">
        <v>365</v>
      </c>
      <c r="E14" s="462" t="s">
        <v>327</v>
      </c>
      <c r="F14" s="1056"/>
      <c r="G14" s="411"/>
      <c r="H14" s="422" t="s">
        <v>672</v>
      </c>
      <c r="I14" s="487" t="str">
        <f>IF(AND($C$10+$C$11+$C$12+$C$13+$C$14=0,$C$15=1,C16=1),"ДА","НЕТ")</f>
        <v>НЕТ</v>
      </c>
      <c r="J14" s="423"/>
      <c r="K14" s="414">
        <f t="shared" si="0"/>
        <v>0</v>
      </c>
    </row>
    <row r="15" spans="2:15" ht="12" customHeight="1" thickBot="1">
      <c r="B15" s="631" t="s">
        <v>668</v>
      </c>
      <c r="C15" s="639">
        <v>0</v>
      </c>
      <c r="D15" s="466" t="s">
        <v>365</v>
      </c>
      <c r="E15" s="467" t="s">
        <v>327</v>
      </c>
      <c r="F15" s="1057"/>
      <c r="G15" s="411"/>
      <c r="H15" s="412" t="s">
        <v>467</v>
      </c>
      <c r="I15" s="487" t="str">
        <f>IF(AND($C$10+$C$11+$C$12+$C$15=0,$C$13+$C$14=1,C16=2),"ДА","НЕТ")</f>
        <v>НЕТ</v>
      </c>
      <c r="J15" s="420"/>
      <c r="K15" s="414">
        <f t="shared" si="0"/>
        <v>0</v>
      </c>
    </row>
    <row r="16" spans="2:15" ht="12" customHeight="1" thickBot="1">
      <c r="B16" s="631" t="s">
        <v>669</v>
      </c>
      <c r="C16" s="639">
        <v>0</v>
      </c>
      <c r="D16" s="466" t="s">
        <v>699</v>
      </c>
      <c r="E16" s="467" t="s">
        <v>700</v>
      </c>
      <c r="F16" s="472" t="s">
        <v>701</v>
      </c>
      <c r="G16" s="411"/>
      <c r="H16" s="422" t="s">
        <v>468</v>
      </c>
      <c r="I16" s="487" t="str">
        <f>IF(AND($C$10+$C$11+$C$12+$C$15=0,$C$13+$C$14=1,C16=2),"ДА","НЕТ")</f>
        <v>НЕТ</v>
      </c>
      <c r="J16" s="420"/>
      <c r="K16" s="414">
        <f t="shared" si="0"/>
        <v>0</v>
      </c>
    </row>
    <row r="17" spans="2:13" ht="12" customHeight="1" thickBot="1">
      <c r="B17" s="633" t="s">
        <v>611</v>
      </c>
      <c r="C17" s="641">
        <v>0</v>
      </c>
      <c r="D17" s="468" t="s">
        <v>365</v>
      </c>
      <c r="E17" s="469" t="s">
        <v>327</v>
      </c>
      <c r="F17" s="566" t="s">
        <v>749</v>
      </c>
      <c r="G17" s="411"/>
      <c r="H17" s="422" t="s">
        <v>469</v>
      </c>
      <c r="I17" s="487" t="str">
        <f>IF(AND($C$10+$C$11+$C$12+$C$15=0,$C$13+$C$14=1,C16=2),"ДА","НЕТ")</f>
        <v>НЕТ</v>
      </c>
      <c r="J17" s="420"/>
      <c r="K17" s="414">
        <f t="shared" si="0"/>
        <v>0</v>
      </c>
    </row>
    <row r="18" spans="2:13" ht="12" customHeight="1" thickBot="1">
      <c r="B18" s="631" t="s">
        <v>612</v>
      </c>
      <c r="C18" s="639">
        <v>0</v>
      </c>
      <c r="D18" s="466" t="s">
        <v>365</v>
      </c>
      <c r="E18" s="467" t="s">
        <v>327</v>
      </c>
      <c r="F18" s="656"/>
      <c r="G18" s="411"/>
      <c r="H18" s="412" t="s">
        <v>673</v>
      </c>
      <c r="I18" s="486" t="str">
        <f>IF(AND($C$10+$C$11+$C$12+$C$13+$C$14=0,$C$15=1,C16=2),"ДА","НЕТ")</f>
        <v>НЕТ</v>
      </c>
      <c r="J18" s="424"/>
      <c r="K18" s="414">
        <f t="shared" si="0"/>
        <v>0</v>
      </c>
    </row>
    <row r="19" spans="2:13" ht="12" customHeight="1" thickBot="1">
      <c r="B19" s="634" t="s">
        <v>472</v>
      </c>
      <c r="C19" s="642">
        <v>0</v>
      </c>
      <c r="D19" s="470" t="s">
        <v>473</v>
      </c>
      <c r="E19" s="471" t="s">
        <v>474</v>
      </c>
      <c r="F19" s="656"/>
      <c r="G19" s="411"/>
      <c r="H19" s="426" t="s">
        <v>674</v>
      </c>
      <c r="I19" s="488" t="str">
        <f>IF(AND($C$10+$C$11+$C$12+$C$13+$C$14=0,$C$15=1,C16=2),"ДА","НЕТ")</f>
        <v>НЕТ</v>
      </c>
      <c r="J19" s="427"/>
      <c r="K19" s="571">
        <f t="shared" si="0"/>
        <v>0</v>
      </c>
    </row>
    <row r="20" spans="2:13" ht="12" customHeight="1" thickBot="1">
      <c r="B20" s="633" t="s">
        <v>436</v>
      </c>
      <c r="C20" s="641">
        <v>0</v>
      </c>
      <c r="D20" s="468" t="s">
        <v>496</v>
      </c>
      <c r="E20" s="469" t="s">
        <v>497</v>
      </c>
      <c r="F20" s="657"/>
      <c r="G20" s="411"/>
      <c r="H20" s="429"/>
      <c r="I20" s="430"/>
      <c r="J20" s="431"/>
      <c r="K20" s="432"/>
    </row>
    <row r="21" spans="2:13" ht="12" customHeight="1">
      <c r="B21" s="632" t="s">
        <v>439</v>
      </c>
      <c r="C21" s="640">
        <v>0</v>
      </c>
      <c r="D21" s="459" t="s">
        <v>365</v>
      </c>
      <c r="E21" s="460" t="s">
        <v>327</v>
      </c>
      <c r="F21" s="1055" t="s">
        <v>677</v>
      </c>
      <c r="G21" s="411"/>
      <c r="H21" s="411"/>
      <c r="I21" s="411"/>
      <c r="J21" s="411"/>
      <c r="K21" s="411"/>
    </row>
    <row r="22" spans="2:13" ht="12" customHeight="1">
      <c r="B22" s="632" t="s">
        <v>545</v>
      </c>
      <c r="C22" s="640">
        <v>0</v>
      </c>
      <c r="D22" s="461" t="s">
        <v>365</v>
      </c>
      <c r="E22" s="462" t="s">
        <v>327</v>
      </c>
      <c r="F22" s="1056"/>
      <c r="G22" s="411"/>
      <c r="H22" s="411"/>
      <c r="I22" s="411"/>
      <c r="J22" s="411"/>
      <c r="K22" s="411"/>
    </row>
    <row r="23" spans="2:13" ht="12" customHeight="1">
      <c r="B23" s="630" t="s">
        <v>440</v>
      </c>
      <c r="C23" s="638">
        <v>0</v>
      </c>
      <c r="D23" s="461" t="s">
        <v>365</v>
      </c>
      <c r="E23" s="462" t="s">
        <v>327</v>
      </c>
      <c r="F23" s="1056"/>
      <c r="G23" s="433"/>
      <c r="H23" s="433"/>
      <c r="I23" s="433"/>
      <c r="J23" s="433"/>
      <c r="K23" s="433"/>
      <c r="L23" s="8"/>
      <c r="M23" s="8"/>
    </row>
    <row r="24" spans="2:13" ht="12" customHeight="1" thickBot="1">
      <c r="B24" s="629" t="s">
        <v>546</v>
      </c>
      <c r="C24" s="643">
        <v>0</v>
      </c>
      <c r="D24" s="466" t="s">
        <v>365</v>
      </c>
      <c r="E24" s="467" t="s">
        <v>327</v>
      </c>
      <c r="F24" s="1057"/>
      <c r="G24" s="411"/>
      <c r="H24" s="411"/>
      <c r="I24" s="411"/>
      <c r="J24" s="411"/>
      <c r="K24" s="411"/>
    </row>
    <row r="25" spans="2:13" ht="12" customHeight="1">
      <c r="B25" s="821" t="s">
        <v>205</v>
      </c>
      <c r="C25" s="823">
        <v>0</v>
      </c>
      <c r="D25" s="1083" t="s">
        <v>766</v>
      </c>
      <c r="E25" s="1059"/>
      <c r="F25" s="1060"/>
      <c r="G25" s="411"/>
      <c r="H25" s="411"/>
      <c r="I25" s="411"/>
      <c r="J25" s="411"/>
      <c r="K25" s="411"/>
    </row>
    <row r="26" spans="2:13" ht="12" customHeight="1" thickBot="1">
      <c r="B26" s="822" t="s">
        <v>204</v>
      </c>
      <c r="C26" s="824">
        <v>0</v>
      </c>
      <c r="D26" s="1084" t="s">
        <v>767</v>
      </c>
      <c r="E26" s="1065"/>
      <c r="F26" s="1066"/>
      <c r="G26" s="411"/>
      <c r="H26" s="411"/>
      <c r="I26" s="411"/>
      <c r="J26" s="411"/>
      <c r="K26" s="411"/>
    </row>
    <row r="27" spans="2:13" ht="12" customHeight="1" thickBot="1">
      <c r="B27" s="1073"/>
      <c r="C27" s="1073"/>
      <c r="D27" s="1073"/>
      <c r="E27" s="1073"/>
      <c r="F27" s="434"/>
      <c r="G27" s="411"/>
      <c r="H27" s="411"/>
      <c r="I27" s="411"/>
      <c r="J27" s="411"/>
      <c r="K27" s="411"/>
    </row>
    <row r="28" spans="2:13" ht="12" customHeight="1">
      <c r="B28" s="473" t="s">
        <v>5</v>
      </c>
      <c r="C28" s="474" t="s">
        <v>0</v>
      </c>
      <c r="D28" s="475" t="s">
        <v>4</v>
      </c>
      <c r="E28" s="476" t="s">
        <v>8</v>
      </c>
      <c r="F28" s="435"/>
      <c r="G28" s="411"/>
      <c r="H28" s="411"/>
      <c r="I28" s="411"/>
      <c r="J28" s="411"/>
      <c r="K28" s="411"/>
    </row>
    <row r="29" spans="2:13" ht="12" customHeight="1">
      <c r="B29" s="436" t="s">
        <v>643</v>
      </c>
      <c r="C29" s="437">
        <f>IF(C17=0,C24*(C4+C5+C7+C8+C6+C9),0)</f>
        <v>0</v>
      </c>
      <c r="D29" s="438"/>
      <c r="E29" s="439">
        <f t="shared" ref="E29:E81" si="1">C29*D29</f>
        <v>0</v>
      </c>
      <c r="F29" s="440"/>
      <c r="G29" s="411"/>
      <c r="H29" s="411"/>
      <c r="I29" s="411"/>
      <c r="J29" s="411"/>
      <c r="K29" s="411"/>
    </row>
    <row r="30" spans="2:13" ht="12" customHeight="1">
      <c r="B30" s="436" t="s">
        <v>644</v>
      </c>
      <c r="C30" s="437">
        <f>C22*(C4+C5+C7+C8+C6+C9)</f>
        <v>0</v>
      </c>
      <c r="D30" s="438"/>
      <c r="E30" s="439">
        <f>C30*D30</f>
        <v>0</v>
      </c>
      <c r="F30" s="440"/>
      <c r="G30" s="411"/>
      <c r="H30" s="411"/>
      <c r="I30" s="411"/>
      <c r="J30" s="411"/>
      <c r="K30" s="411"/>
    </row>
    <row r="31" spans="2:13" ht="12" customHeight="1">
      <c r="B31" s="436" t="s">
        <v>122</v>
      </c>
      <c r="C31" s="437">
        <f>(C21+C23)*2*(C4+C5+C7+C8+C6+C9)</f>
        <v>0</v>
      </c>
      <c r="D31" s="438"/>
      <c r="E31" s="439">
        <f t="shared" si="1"/>
        <v>0</v>
      </c>
      <c r="F31" s="440"/>
      <c r="G31" s="411"/>
      <c r="H31" s="411"/>
      <c r="I31" s="411"/>
      <c r="J31" s="411"/>
      <c r="K31" s="411"/>
    </row>
    <row r="32" spans="2:13" ht="12" customHeight="1">
      <c r="B32" s="441" t="s">
        <v>721</v>
      </c>
      <c r="C32" s="442">
        <f>EVEN(ROUNDDOWN(IF(AND(C7+C8+C9&gt;0.9,C4+C5+C6=0),(C7+C8)*C2/0.5,0),0))</f>
        <v>0</v>
      </c>
      <c r="D32" s="443"/>
      <c r="E32" s="439">
        <f t="shared" si="1"/>
        <v>0</v>
      </c>
      <c r="F32" s="440"/>
      <c r="G32" s="419"/>
      <c r="H32" s="419"/>
      <c r="I32" s="411"/>
      <c r="J32" s="411"/>
      <c r="K32" s="411"/>
    </row>
    <row r="33" spans="2:11" ht="12" customHeight="1">
      <c r="B33" s="441" t="s">
        <v>538</v>
      </c>
      <c r="C33" s="442">
        <f>IF(AND(C10+C11&gt;0,C13+C14=0,C19=1,C20=0),(C4+C5+C7+C8+C6+C9)*2,0)</f>
        <v>0</v>
      </c>
      <c r="D33" s="443"/>
      <c r="E33" s="439">
        <f>C33*D33</f>
        <v>0</v>
      </c>
      <c r="F33" s="440"/>
      <c r="G33" s="444"/>
      <c r="H33" s="411"/>
      <c r="I33" s="411"/>
      <c r="J33" s="411"/>
      <c r="K33" s="411"/>
    </row>
    <row r="34" spans="2:11" ht="12" customHeight="1">
      <c r="B34" s="441" t="s">
        <v>539</v>
      </c>
      <c r="C34" s="437">
        <f>IF(AND(C10+C11&gt;0,C13+C14=0,C19=1,C20=1),(C4+C5+C7+C8+C6+C9)*2,0)</f>
        <v>0</v>
      </c>
      <c r="D34" s="438"/>
      <c r="E34" s="439">
        <f>C34*D34</f>
        <v>0</v>
      </c>
      <c r="F34" s="440"/>
      <c r="G34" s="434"/>
      <c r="H34" s="434"/>
      <c r="I34" s="411"/>
      <c r="J34" s="411"/>
      <c r="K34" s="411"/>
    </row>
    <row r="35" spans="2:11" ht="12" customHeight="1">
      <c r="B35" s="441" t="s">
        <v>499</v>
      </c>
      <c r="C35" s="442">
        <f>IF(AND(C10+C11&gt;0,C13+C14=0,C19=0,C20=0),(C4+C5+C7+C8+C6+C9)*2,0)</f>
        <v>0</v>
      </c>
      <c r="D35" s="443"/>
      <c r="E35" s="439">
        <f>C35*D35</f>
        <v>0</v>
      </c>
      <c r="F35" s="440"/>
      <c r="G35" s="444"/>
      <c r="H35" s="411"/>
      <c r="I35" s="411"/>
      <c r="J35" s="411"/>
      <c r="K35" s="411"/>
    </row>
    <row r="36" spans="2:11" ht="12" customHeight="1">
      <c r="B36" s="441" t="s">
        <v>500</v>
      </c>
      <c r="C36" s="445">
        <f>IF(AND(C10+C11&gt;0,C13+C14=0,C19=0,C20=1),(C4+C5+C7+C8+C6+C9)*2,0)</f>
        <v>0</v>
      </c>
      <c r="D36" s="446"/>
      <c r="E36" s="439">
        <f>C36*D36</f>
        <v>0</v>
      </c>
      <c r="F36" s="440"/>
      <c r="G36" s="411"/>
      <c r="H36" s="411"/>
      <c r="I36" s="411"/>
      <c r="J36" s="411"/>
      <c r="K36" s="411"/>
    </row>
    <row r="37" spans="2:11" ht="12" customHeight="1">
      <c r="B37" s="441" t="s">
        <v>538</v>
      </c>
      <c r="C37" s="442">
        <f>IF(AND(C10+C11=0,C13+C14&gt;0,C19=1,C20=0),(C4+C5+C7+C8+C6+C9),0)</f>
        <v>0</v>
      </c>
      <c r="D37" s="443"/>
      <c r="E37" s="439">
        <f t="shared" si="1"/>
        <v>0</v>
      </c>
      <c r="F37" s="440"/>
      <c r="G37" s="444"/>
      <c r="H37" s="411"/>
      <c r="I37" s="411"/>
      <c r="J37" s="411"/>
      <c r="K37" s="411"/>
    </row>
    <row r="38" spans="2:11" ht="12" customHeight="1">
      <c r="B38" s="441" t="s">
        <v>539</v>
      </c>
      <c r="C38" s="437">
        <f>IF(AND(C10+C11=0,C13+C14&gt;0,C19=1,C20=1),(C4+C5+C7+C8+C6+C9),0)</f>
        <v>0</v>
      </c>
      <c r="D38" s="438"/>
      <c r="E38" s="439">
        <f t="shared" si="1"/>
        <v>0</v>
      </c>
      <c r="F38" s="440"/>
      <c r="G38" s="447"/>
      <c r="H38" s="434"/>
      <c r="I38" s="411"/>
      <c r="J38" s="411"/>
      <c r="K38" s="411"/>
    </row>
    <row r="39" spans="2:11" ht="12" customHeight="1">
      <c r="B39" s="441" t="s">
        <v>499</v>
      </c>
      <c r="C39" s="442">
        <f>IF(AND(C10+C11=0,C13+C14&gt;0,C19=0,C20=0),(C4+C5+C7+C8+C6+C9),0)</f>
        <v>0</v>
      </c>
      <c r="D39" s="443"/>
      <c r="E39" s="439">
        <f t="shared" si="1"/>
        <v>0</v>
      </c>
      <c r="F39" s="440"/>
      <c r="G39" s="448"/>
      <c r="H39" s="434"/>
      <c r="I39" s="411"/>
      <c r="J39" s="411"/>
      <c r="K39" s="411"/>
    </row>
    <row r="40" spans="2:11" ht="12" customHeight="1">
      <c r="B40" s="441" t="s">
        <v>500</v>
      </c>
      <c r="C40" s="445">
        <f>IF(AND(C10+C11=0,C13+C14&gt;0,C19=0,C20=1),(C4+C5+C7+C8+C6+C9),0)</f>
        <v>0</v>
      </c>
      <c r="D40" s="446"/>
      <c r="E40" s="439">
        <f t="shared" si="1"/>
        <v>0</v>
      </c>
      <c r="F40" s="440"/>
      <c r="G40" s="411"/>
      <c r="H40" s="411"/>
      <c r="I40" s="411"/>
      <c r="J40" s="411"/>
      <c r="K40" s="411"/>
    </row>
    <row r="41" spans="2:11" ht="12" customHeight="1">
      <c r="B41" s="441" t="s">
        <v>591</v>
      </c>
      <c r="C41" s="442">
        <f>IF(AND(C10+C11=0,C13+C14&gt;0,C20=0),(C4+C5+C7+C8+C6+C9),0)</f>
        <v>0</v>
      </c>
      <c r="D41" s="443"/>
      <c r="E41" s="439">
        <f>C41*D41</f>
        <v>0</v>
      </c>
      <c r="F41" s="440"/>
      <c r="G41" s="411"/>
      <c r="H41" s="411"/>
      <c r="I41" s="411"/>
      <c r="J41" s="411"/>
      <c r="K41" s="411"/>
    </row>
    <row r="42" spans="2:11" ht="12" customHeight="1">
      <c r="B42" s="441" t="s">
        <v>592</v>
      </c>
      <c r="C42" s="445">
        <f>IF(AND(C10+C11=0,C13+C14&gt;0,C20=1),(C4+C5+C7+C8+C6+C9),0)</f>
        <v>0</v>
      </c>
      <c r="D42" s="446"/>
      <c r="E42" s="439">
        <f>C42*D42</f>
        <v>0</v>
      </c>
      <c r="F42" s="440"/>
      <c r="G42" s="411"/>
      <c r="H42" s="411"/>
      <c r="I42" s="411"/>
      <c r="J42" s="411"/>
      <c r="K42" s="411"/>
    </row>
    <row r="43" spans="2:11" ht="12" customHeight="1">
      <c r="B43" s="436" t="s">
        <v>722</v>
      </c>
      <c r="C43" s="445">
        <f>(C4+C5+C6)*2</f>
        <v>0</v>
      </c>
      <c r="D43" s="446"/>
      <c r="E43" s="439">
        <f t="shared" si="1"/>
        <v>0</v>
      </c>
      <c r="F43" s="440"/>
      <c r="G43" s="411"/>
      <c r="H43" s="411"/>
      <c r="I43" s="411"/>
      <c r="J43" s="411"/>
      <c r="K43" s="411"/>
    </row>
    <row r="44" spans="2:11" ht="12" customHeight="1">
      <c r="B44" s="441" t="s">
        <v>723</v>
      </c>
      <c r="C44" s="445">
        <f>IF(C4+C5=0,(C7+C8+C9)*2,0)</f>
        <v>0</v>
      </c>
      <c r="D44" s="446"/>
      <c r="E44" s="439">
        <f t="shared" si="1"/>
        <v>0</v>
      </c>
      <c r="F44" s="440"/>
      <c r="G44" s="411"/>
      <c r="H44" s="411"/>
      <c r="I44" s="411"/>
      <c r="J44" s="411"/>
      <c r="K44" s="411"/>
    </row>
    <row r="45" spans="2:11" ht="12" customHeight="1">
      <c r="B45" s="441" t="s">
        <v>511</v>
      </c>
      <c r="C45" s="437">
        <f>C4+C7</f>
        <v>0</v>
      </c>
      <c r="D45" s="438"/>
      <c r="E45" s="439">
        <f t="shared" si="1"/>
        <v>0</v>
      </c>
      <c r="F45" s="440"/>
      <c r="G45" s="411"/>
      <c r="H45" s="411"/>
      <c r="I45" s="411"/>
      <c r="J45" s="411"/>
      <c r="K45" s="411"/>
    </row>
    <row r="46" spans="2:11" ht="12" customHeight="1">
      <c r="B46" s="441" t="s">
        <v>512</v>
      </c>
      <c r="C46" s="442">
        <f>(C4+C7)*2</f>
        <v>0</v>
      </c>
      <c r="D46" s="443"/>
      <c r="E46" s="439">
        <f t="shared" si="1"/>
        <v>0</v>
      </c>
      <c r="F46" s="440"/>
      <c r="G46" s="411"/>
      <c r="H46" s="411"/>
      <c r="I46" s="411"/>
      <c r="J46" s="411"/>
      <c r="K46" s="411"/>
    </row>
    <row r="47" spans="2:11" ht="12" customHeight="1">
      <c r="B47" s="441" t="s">
        <v>680</v>
      </c>
      <c r="C47" s="442">
        <f>(C6+C9)*2</f>
        <v>0</v>
      </c>
      <c r="D47" s="443"/>
      <c r="E47" s="439">
        <f>C47*D47</f>
        <v>0</v>
      </c>
      <c r="F47" s="440"/>
      <c r="G47" s="411"/>
      <c r="H47" s="411"/>
      <c r="I47" s="411"/>
      <c r="J47" s="411"/>
      <c r="K47" s="411"/>
    </row>
    <row r="48" spans="2:11" ht="12" customHeight="1">
      <c r="B48" s="441" t="s">
        <v>513</v>
      </c>
      <c r="C48" s="442">
        <f>C5+C8+C6+C9</f>
        <v>0</v>
      </c>
      <c r="D48" s="443"/>
      <c r="E48" s="439">
        <f t="shared" si="1"/>
        <v>0</v>
      </c>
      <c r="F48" s="440"/>
      <c r="G48" s="411"/>
      <c r="H48" s="411"/>
      <c r="I48" s="411"/>
      <c r="J48" s="411"/>
      <c r="K48" s="411"/>
    </row>
    <row r="49" spans="2:11" ht="12" customHeight="1">
      <c r="B49" s="441" t="s">
        <v>724</v>
      </c>
      <c r="C49" s="442">
        <f>IF(C17=0,(C7+C8+C9)*2,0)</f>
        <v>0</v>
      </c>
      <c r="D49" s="443"/>
      <c r="E49" s="439">
        <f t="shared" si="1"/>
        <v>0</v>
      </c>
      <c r="F49" s="440"/>
      <c r="G49" s="411"/>
      <c r="H49" s="411"/>
      <c r="I49" s="411"/>
      <c r="J49" s="411"/>
      <c r="K49" s="411"/>
    </row>
    <row r="50" spans="2:11" ht="12" customHeight="1">
      <c r="B50" s="441" t="s">
        <v>553</v>
      </c>
      <c r="C50" s="442">
        <f>C24*C2*(C4+C5+C7+C8+C6+C9)</f>
        <v>0</v>
      </c>
      <c r="D50" s="443"/>
      <c r="E50" s="439">
        <f>C50*D50</f>
        <v>0</v>
      </c>
      <c r="F50" s="440"/>
      <c r="G50" s="411"/>
      <c r="H50" s="411"/>
      <c r="I50" s="411"/>
      <c r="J50" s="411"/>
      <c r="K50" s="411"/>
    </row>
    <row r="51" spans="2:11" ht="12" customHeight="1">
      <c r="B51" s="436" t="s">
        <v>553</v>
      </c>
      <c r="C51" s="442">
        <f>C2*(C4+C5+C7+C8+C6+C9)</f>
        <v>0</v>
      </c>
      <c r="D51" s="443"/>
      <c r="E51" s="439">
        <f t="shared" si="1"/>
        <v>0</v>
      </c>
      <c r="F51" s="440"/>
      <c r="G51" s="411"/>
      <c r="H51" s="411"/>
      <c r="I51" s="411"/>
      <c r="J51" s="411"/>
      <c r="K51" s="411"/>
    </row>
    <row r="52" spans="2:11" ht="12" customHeight="1">
      <c r="B52" s="441" t="s">
        <v>441</v>
      </c>
      <c r="C52" s="442">
        <f>C23*2*C2*(C4+C5+C7+C8+C6+C9)</f>
        <v>0</v>
      </c>
      <c r="D52" s="443"/>
      <c r="E52" s="439">
        <f t="shared" si="1"/>
        <v>0</v>
      </c>
      <c r="F52" s="440"/>
      <c r="G52" s="411"/>
      <c r="H52" s="411"/>
      <c r="I52" s="411"/>
      <c r="J52" s="411"/>
      <c r="K52" s="411"/>
    </row>
    <row r="53" spans="2:11" ht="12" customHeight="1">
      <c r="B53" s="441" t="s">
        <v>556</v>
      </c>
      <c r="C53" s="442">
        <f>C22*C2*(C4+C5+C7+C8+C6+C9)</f>
        <v>0</v>
      </c>
      <c r="D53" s="449"/>
      <c r="E53" s="439">
        <f t="shared" si="1"/>
        <v>0</v>
      </c>
      <c r="F53" s="440"/>
      <c r="G53" s="411"/>
      <c r="H53" s="411"/>
      <c r="I53" s="411"/>
      <c r="J53" s="411"/>
      <c r="K53" s="411"/>
    </row>
    <row r="54" spans="2:11" ht="12" customHeight="1">
      <c r="B54" s="441" t="s">
        <v>546</v>
      </c>
      <c r="C54" s="442">
        <f>C24*C2*(C4+C5+C7+C8+C6+C9)</f>
        <v>0</v>
      </c>
      <c r="D54" s="443"/>
      <c r="E54" s="439">
        <f t="shared" si="1"/>
        <v>0</v>
      </c>
      <c r="F54" s="440"/>
      <c r="G54" s="411"/>
      <c r="H54" s="411"/>
      <c r="I54" s="411"/>
      <c r="J54" s="411"/>
      <c r="K54" s="411"/>
    </row>
    <row r="55" spans="2:11" ht="12" customHeight="1">
      <c r="B55" s="441" t="s">
        <v>725</v>
      </c>
      <c r="C55" s="442">
        <f>C22*C2*(C4+C5+C7+C8+C6+C9)</f>
        <v>0</v>
      </c>
      <c r="D55" s="443"/>
      <c r="E55" s="439">
        <f>C55*D55</f>
        <v>0</v>
      </c>
      <c r="F55" s="440"/>
      <c r="G55" s="411"/>
      <c r="H55" s="411"/>
      <c r="I55" s="411"/>
      <c r="J55" s="411"/>
      <c r="K55" s="411"/>
    </row>
    <row r="56" spans="2:11" ht="12" customHeight="1">
      <c r="B56" s="441" t="s">
        <v>442</v>
      </c>
      <c r="C56" s="442">
        <f>C21*C2*(C4+C5+C7+C8+C6+C9)</f>
        <v>0</v>
      </c>
      <c r="D56" s="443"/>
      <c r="E56" s="439">
        <f t="shared" si="1"/>
        <v>0</v>
      </c>
      <c r="F56" s="440"/>
      <c r="G56" s="411"/>
      <c r="H56" s="411"/>
      <c r="I56" s="411"/>
      <c r="J56" s="411"/>
      <c r="K56" s="411"/>
    </row>
    <row r="57" spans="2:11" ht="12" customHeight="1">
      <c r="B57" s="441" t="s">
        <v>443</v>
      </c>
      <c r="C57" s="450">
        <f>C23*C2*(C4+C5+C7+C8+C6+C9)</f>
        <v>0</v>
      </c>
      <c r="D57" s="443"/>
      <c r="E57" s="439">
        <f t="shared" si="1"/>
        <v>0</v>
      </c>
      <c r="F57" s="440"/>
      <c r="G57" s="411"/>
      <c r="H57" s="411"/>
      <c r="I57" s="411"/>
      <c r="J57" s="411"/>
      <c r="K57" s="411"/>
    </row>
    <row r="58" spans="2:11" ht="12" customHeight="1">
      <c r="B58" s="436" t="s">
        <v>540</v>
      </c>
      <c r="C58" s="450">
        <f>(C4+C7)*C2</f>
        <v>0</v>
      </c>
      <c r="D58" s="443"/>
      <c r="E58" s="439">
        <f t="shared" si="1"/>
        <v>0</v>
      </c>
      <c r="F58" s="440"/>
      <c r="G58" s="411"/>
      <c r="H58" s="411"/>
      <c r="I58" s="411"/>
      <c r="J58" s="411"/>
      <c r="K58" s="411"/>
    </row>
    <row r="59" spans="2:11" ht="12" customHeight="1">
      <c r="B59" s="436" t="s">
        <v>541</v>
      </c>
      <c r="C59" s="450">
        <f>(C5+C8)*C2</f>
        <v>0</v>
      </c>
      <c r="D59" s="443"/>
      <c r="E59" s="439">
        <f t="shared" si="1"/>
        <v>0</v>
      </c>
      <c r="F59" s="440"/>
      <c r="G59" s="444"/>
      <c r="H59" s="411"/>
      <c r="I59" s="411"/>
      <c r="J59" s="411"/>
      <c r="K59" s="411"/>
    </row>
    <row r="60" spans="2:11" ht="12" customHeight="1">
      <c r="B60" s="436" t="s">
        <v>681</v>
      </c>
      <c r="C60" s="450">
        <f>(C6+C9)*C2</f>
        <v>0</v>
      </c>
      <c r="D60" s="443"/>
      <c r="E60" s="439">
        <f>C60*D60</f>
        <v>0</v>
      </c>
      <c r="F60" s="440"/>
      <c r="G60" s="444"/>
      <c r="H60" s="411"/>
      <c r="I60" s="411"/>
      <c r="J60" s="411"/>
      <c r="K60" s="411"/>
    </row>
    <row r="61" spans="2:11" ht="12" customHeight="1">
      <c r="B61" s="436" t="s">
        <v>501</v>
      </c>
      <c r="C61" s="450">
        <f>IF(C4+C5=0,(C7+C8+C9)*C2,0)</f>
        <v>0</v>
      </c>
      <c r="D61" s="443"/>
      <c r="E61" s="439">
        <f t="shared" si="1"/>
        <v>0</v>
      </c>
      <c r="F61" s="440"/>
      <c r="G61" s="411"/>
      <c r="H61" s="411"/>
      <c r="I61" s="411"/>
      <c r="J61" s="411"/>
      <c r="K61" s="411"/>
    </row>
    <row r="62" spans="2:11" ht="12" customHeight="1">
      <c r="B62" s="441" t="s">
        <v>726</v>
      </c>
      <c r="C62" s="450">
        <f>C18*(C4+C5+C7+C8+C6+C9)</f>
        <v>0</v>
      </c>
      <c r="D62" s="449"/>
      <c r="E62" s="439">
        <f t="shared" si="1"/>
        <v>0</v>
      </c>
      <c r="F62" s="440"/>
      <c r="G62" s="411"/>
      <c r="H62" s="411"/>
      <c r="I62" s="411"/>
      <c r="J62" s="411"/>
      <c r="K62" s="411"/>
    </row>
    <row r="63" spans="2:11" ht="12" customHeight="1">
      <c r="B63" s="441" t="s">
        <v>727</v>
      </c>
      <c r="C63" s="450">
        <f>IF(C18=0,C4+C5+C7+C8+C6+C9,0)</f>
        <v>0</v>
      </c>
      <c r="D63" s="443"/>
      <c r="E63" s="439">
        <f t="shared" si="1"/>
        <v>0</v>
      </c>
      <c r="F63" s="440"/>
      <c r="G63" s="411"/>
      <c r="H63" s="411"/>
      <c r="I63" s="411"/>
      <c r="J63" s="411"/>
      <c r="K63" s="411"/>
    </row>
    <row r="64" spans="2:11" ht="12" customHeight="1">
      <c r="B64" s="441" t="s">
        <v>503</v>
      </c>
      <c r="C64" s="450">
        <f>(C7+C8+C9)*4</f>
        <v>0</v>
      </c>
      <c r="D64" s="443"/>
      <c r="E64" s="439">
        <f t="shared" si="1"/>
        <v>0</v>
      </c>
      <c r="F64" s="440"/>
      <c r="G64" s="411"/>
      <c r="H64" s="411"/>
      <c r="I64" s="411"/>
      <c r="J64" s="411"/>
      <c r="K64" s="411"/>
    </row>
    <row r="65" spans="2:11" ht="12" customHeight="1">
      <c r="B65" s="441" t="s">
        <v>728</v>
      </c>
      <c r="C65" s="450">
        <f>C17*(C4+C5+C7+C8+C6+C9)</f>
        <v>0</v>
      </c>
      <c r="D65" s="449"/>
      <c r="E65" s="439">
        <f t="shared" si="1"/>
        <v>0</v>
      </c>
      <c r="F65" s="440"/>
      <c r="G65" s="411"/>
      <c r="H65" s="411"/>
      <c r="I65" s="411"/>
      <c r="J65" s="411"/>
      <c r="K65" s="411"/>
    </row>
    <row r="66" spans="2:11" ht="12" customHeight="1">
      <c r="B66" s="441" t="s">
        <v>504</v>
      </c>
      <c r="C66" s="450">
        <f>IF(C17=1,(C4+C5+C7+C8+C6+C9)*C3*2+0.3,0)</f>
        <v>0</v>
      </c>
      <c r="D66" s="443"/>
      <c r="E66" s="439">
        <f t="shared" si="1"/>
        <v>0</v>
      </c>
      <c r="F66" s="440"/>
      <c r="G66" s="444"/>
      <c r="H66" s="411"/>
      <c r="I66" s="411"/>
      <c r="J66" s="411"/>
      <c r="K66" s="411"/>
    </row>
    <row r="67" spans="2:11" ht="12" customHeight="1">
      <c r="B67" s="441" t="s">
        <v>729</v>
      </c>
      <c r="C67" s="450">
        <f>IF(AND(C19=1,C17=1),(C4+C5+C7+C8+C6+C9)*2,0)</f>
        <v>0</v>
      </c>
      <c r="D67" s="443"/>
      <c r="E67" s="439">
        <f t="shared" si="1"/>
        <v>0</v>
      </c>
      <c r="F67" s="440"/>
      <c r="G67" s="411"/>
      <c r="H67" s="411"/>
      <c r="I67" s="411"/>
      <c r="J67" s="411"/>
      <c r="K67" s="411"/>
    </row>
    <row r="68" spans="2:11" ht="12" customHeight="1">
      <c r="B68" s="441" t="s">
        <v>730</v>
      </c>
      <c r="C68" s="450">
        <f>IF(C17=1,(C5+C7+C8+C4+C6+C9)*2,0)</f>
        <v>0</v>
      </c>
      <c r="D68" s="443"/>
      <c r="E68" s="439">
        <f t="shared" si="1"/>
        <v>0</v>
      </c>
      <c r="F68" s="440"/>
      <c r="G68" s="411"/>
      <c r="H68" s="411"/>
      <c r="I68" s="411"/>
      <c r="J68" s="411"/>
      <c r="K68" s="411"/>
    </row>
    <row r="69" spans="2:11" ht="12" customHeight="1">
      <c r="B69" s="441" t="s">
        <v>507</v>
      </c>
      <c r="C69" s="450">
        <f>C17*2*(C4+C5+C7+C8+C6+C9)</f>
        <v>0</v>
      </c>
      <c r="D69" s="443"/>
      <c r="E69" s="439">
        <f t="shared" si="1"/>
        <v>0</v>
      </c>
      <c r="F69" s="440"/>
      <c r="G69" s="411"/>
      <c r="H69" s="411"/>
      <c r="I69" s="411"/>
      <c r="J69" s="411"/>
      <c r="K69" s="411"/>
    </row>
    <row r="70" spans="2:11" ht="12" customHeight="1">
      <c r="B70" s="441" t="s">
        <v>555</v>
      </c>
      <c r="C70" s="450">
        <f>C17*(C4+C5+C7+C8+C6+C9)</f>
        <v>0</v>
      </c>
      <c r="D70" s="451"/>
      <c r="E70" s="439">
        <f t="shared" si="1"/>
        <v>0</v>
      </c>
      <c r="F70" s="440"/>
      <c r="G70" s="411"/>
      <c r="H70" s="411"/>
      <c r="I70" s="411"/>
      <c r="J70" s="411"/>
      <c r="K70" s="411"/>
    </row>
    <row r="71" spans="2:11" ht="12" customHeight="1">
      <c r="B71" s="441" t="s">
        <v>508</v>
      </c>
      <c r="C71" s="450">
        <f>C17*2*(C4+C5+C7+C8+C6+C9)</f>
        <v>0</v>
      </c>
      <c r="D71" s="451"/>
      <c r="E71" s="439">
        <f t="shared" si="1"/>
        <v>0</v>
      </c>
      <c r="F71" s="440"/>
      <c r="G71" s="411"/>
      <c r="H71" s="411"/>
      <c r="I71" s="411"/>
      <c r="J71" s="411"/>
      <c r="K71" s="411"/>
    </row>
    <row r="72" spans="2:11" ht="12" customHeight="1">
      <c r="B72" s="441" t="s">
        <v>509</v>
      </c>
      <c r="C72" s="450">
        <f>C17*4*(C4+C5+C7+C8+C6+C9)</f>
        <v>0</v>
      </c>
      <c r="D72" s="443"/>
      <c r="E72" s="439">
        <f t="shared" si="1"/>
        <v>0</v>
      </c>
      <c r="F72" s="440"/>
      <c r="G72" s="411"/>
      <c r="H72" s="411"/>
      <c r="I72" s="411"/>
      <c r="J72" s="411"/>
      <c r="K72" s="411"/>
    </row>
    <row r="73" spans="2:11" ht="12" customHeight="1">
      <c r="B73" s="441" t="s">
        <v>510</v>
      </c>
      <c r="C73" s="450">
        <f>C17*4*(C4+C5+C7+C8+C6+C9)</f>
        <v>0</v>
      </c>
      <c r="D73" s="443"/>
      <c r="E73" s="439">
        <f t="shared" si="1"/>
        <v>0</v>
      </c>
      <c r="F73" s="440"/>
      <c r="G73" s="411"/>
      <c r="H73" s="411"/>
      <c r="I73" s="411"/>
      <c r="J73" s="411"/>
      <c r="K73" s="411"/>
    </row>
    <row r="74" spans="2:11" ht="12" customHeight="1">
      <c r="B74" s="452" t="s">
        <v>456</v>
      </c>
      <c r="C74" s="450">
        <f>C10*(C4+C7)</f>
        <v>0</v>
      </c>
      <c r="D74" s="449"/>
      <c r="E74" s="439">
        <f t="shared" si="1"/>
        <v>0</v>
      </c>
      <c r="F74" s="440"/>
      <c r="G74" s="453"/>
      <c r="H74" s="453"/>
      <c r="I74" s="411"/>
      <c r="J74" s="411"/>
      <c r="K74" s="411"/>
    </row>
    <row r="75" spans="2:11" ht="12" customHeight="1">
      <c r="B75" s="452" t="s">
        <v>678</v>
      </c>
      <c r="C75" s="450">
        <f>C13*(C4+C7)</f>
        <v>0</v>
      </c>
      <c r="D75" s="449"/>
      <c r="E75" s="439">
        <f t="shared" si="1"/>
        <v>0</v>
      </c>
      <c r="F75" s="440"/>
      <c r="G75" s="454"/>
      <c r="H75" s="411"/>
      <c r="I75" s="411"/>
      <c r="J75" s="411"/>
      <c r="K75" s="411"/>
    </row>
    <row r="76" spans="2:11" ht="12" customHeight="1">
      <c r="B76" s="452" t="s">
        <v>515</v>
      </c>
      <c r="C76" s="450">
        <f>C11*(C5+C8)</f>
        <v>0</v>
      </c>
      <c r="D76" s="443"/>
      <c r="E76" s="439">
        <f t="shared" si="1"/>
        <v>0</v>
      </c>
      <c r="F76" s="440"/>
      <c r="G76" s="455"/>
      <c r="H76" s="411"/>
      <c r="I76" s="411"/>
      <c r="J76" s="411"/>
      <c r="K76" s="411"/>
    </row>
    <row r="77" spans="2:11" ht="12" customHeight="1">
      <c r="B77" s="452" t="s">
        <v>682</v>
      </c>
      <c r="C77" s="450">
        <f>C12*(C6+C9)</f>
        <v>0</v>
      </c>
      <c r="D77" s="443"/>
      <c r="E77" s="439">
        <f>C77*D77</f>
        <v>0</v>
      </c>
      <c r="F77" s="440"/>
      <c r="G77" s="455"/>
      <c r="H77" s="411"/>
      <c r="I77" s="411"/>
      <c r="J77" s="411"/>
      <c r="K77" s="411"/>
    </row>
    <row r="78" spans="2:11" ht="12" customHeight="1">
      <c r="B78" s="452" t="s">
        <v>683</v>
      </c>
      <c r="C78" s="450">
        <f>C15*(C6+C9)</f>
        <v>0</v>
      </c>
      <c r="D78" s="443"/>
      <c r="E78" s="439">
        <f>C78*D78</f>
        <v>0</v>
      </c>
      <c r="F78" s="440"/>
      <c r="G78" s="455"/>
      <c r="H78" s="411"/>
      <c r="I78" s="411"/>
      <c r="J78" s="411"/>
      <c r="K78" s="411"/>
    </row>
    <row r="79" spans="2:11" ht="12" customHeight="1">
      <c r="B79" s="621" t="s">
        <v>203</v>
      </c>
      <c r="C79" s="602">
        <f>C26</f>
        <v>0</v>
      </c>
      <c r="D79" s="618"/>
      <c r="E79" s="496">
        <f t="shared" ref="E79:E80" si="2">C79*D79</f>
        <v>0</v>
      </c>
      <c r="F79" s="440"/>
      <c r="G79" s="455"/>
      <c r="H79" s="411"/>
      <c r="I79" s="411"/>
      <c r="J79" s="411"/>
      <c r="K79" s="411"/>
    </row>
    <row r="80" spans="2:11" ht="12" customHeight="1">
      <c r="B80" s="547" t="s">
        <v>206</v>
      </c>
      <c r="C80" s="442">
        <f>C25</f>
        <v>0</v>
      </c>
      <c r="D80" s="449"/>
      <c r="E80" s="439">
        <f t="shared" si="2"/>
        <v>0</v>
      </c>
      <c r="F80" s="440"/>
      <c r="G80" s="455"/>
      <c r="H80" s="411"/>
      <c r="I80" s="411"/>
      <c r="J80" s="411"/>
      <c r="K80" s="411"/>
    </row>
    <row r="81" spans="1:11" ht="12" customHeight="1" thickBot="1">
      <c r="B81" s="481" t="s">
        <v>679</v>
      </c>
      <c r="C81" s="482">
        <f>C14*(C5+C8)</f>
        <v>0</v>
      </c>
      <c r="D81" s="483"/>
      <c r="E81" s="484">
        <f t="shared" si="1"/>
        <v>0</v>
      </c>
      <c r="F81" s="440"/>
      <c r="G81" s="455"/>
      <c r="H81" s="411"/>
      <c r="I81" s="411"/>
      <c r="J81" s="411"/>
      <c r="K81" s="411"/>
    </row>
    <row r="82" spans="1:11" ht="12" customHeight="1" thickBot="1">
      <c r="B82" s="411"/>
      <c r="C82" s="411"/>
      <c r="D82" s="480" t="s">
        <v>9</v>
      </c>
      <c r="E82" s="485">
        <f>SUMIF(E29:E81,"&gt;0",E29:E81)</f>
        <v>0</v>
      </c>
      <c r="F82" s="456"/>
      <c r="G82" s="455"/>
      <c r="H82" s="411"/>
      <c r="I82" s="411"/>
      <c r="J82" s="411"/>
      <c r="K82" s="411"/>
    </row>
    <row r="83" spans="1:11" ht="12" customHeight="1">
      <c r="B83" s="411"/>
      <c r="C83" s="411"/>
      <c r="D83" s="411"/>
      <c r="E83" s="411"/>
      <c r="F83" s="411"/>
      <c r="G83" s="455"/>
      <c r="H83" s="411"/>
      <c r="I83" s="411"/>
      <c r="J83" s="411"/>
      <c r="K83" s="411"/>
    </row>
    <row r="84" spans="1:11" ht="12" customHeight="1">
      <c r="B84" s="457"/>
      <c r="C84" s="457"/>
      <c r="D84" s="457"/>
      <c r="E84" s="457"/>
      <c r="F84" s="458"/>
      <c r="G84" s="458"/>
      <c r="H84" s="419"/>
      <c r="I84" s="411"/>
      <c r="J84" s="411"/>
      <c r="K84" s="411"/>
    </row>
    <row r="85" spans="1:11" ht="12" customHeight="1">
      <c r="A85" s="401"/>
      <c r="B85" s="429"/>
      <c r="C85" s="430"/>
      <c r="D85" s="431"/>
      <c r="E85" s="432"/>
      <c r="F85" s="432"/>
      <c r="G85" s="411"/>
      <c r="H85" s="411"/>
      <c r="I85" s="411"/>
      <c r="J85" s="411"/>
      <c r="K85" s="411"/>
    </row>
    <row r="86" spans="1:11" ht="12" customHeight="1">
      <c r="A86" s="401"/>
      <c r="B86" s="338"/>
      <c r="C86" s="408"/>
      <c r="D86" s="406"/>
      <c r="E86" s="402"/>
      <c r="F86" s="402"/>
    </row>
    <row r="87" spans="1:11" ht="12" customHeight="1">
      <c r="A87" s="401"/>
      <c r="B87" s="338"/>
      <c r="C87" s="408"/>
      <c r="D87" s="406"/>
      <c r="E87" s="402"/>
      <c r="F87" s="402"/>
    </row>
    <row r="88" spans="1:11" ht="12" customHeight="1">
      <c r="A88" s="401"/>
      <c r="B88" s="338"/>
      <c r="C88" s="408"/>
      <c r="D88" s="406"/>
      <c r="E88" s="402"/>
      <c r="F88" s="402"/>
    </row>
    <row r="89" spans="1:11" ht="12" customHeight="1">
      <c r="A89" s="401"/>
      <c r="B89" s="338"/>
      <c r="C89" s="408"/>
      <c r="D89" s="406"/>
      <c r="E89" s="402"/>
      <c r="F89" s="402"/>
    </row>
    <row r="90" spans="1:11" ht="12" customHeight="1">
      <c r="A90" s="401"/>
      <c r="B90" s="338"/>
      <c r="C90" s="408"/>
      <c r="D90" s="406"/>
      <c r="E90" s="402"/>
      <c r="F90" s="402"/>
    </row>
    <row r="91" spans="1:11" ht="12" customHeight="1">
      <c r="A91" s="401"/>
      <c r="B91" s="404"/>
      <c r="C91" s="408"/>
      <c r="D91" s="405"/>
      <c r="E91" s="402"/>
      <c r="F91" s="402"/>
    </row>
    <row r="92" spans="1:11" ht="12" customHeight="1">
      <c r="A92" s="401"/>
      <c r="B92" s="404"/>
      <c r="C92" s="408"/>
      <c r="D92" s="405"/>
      <c r="E92" s="402"/>
      <c r="F92" s="402"/>
    </row>
    <row r="93" spans="1:11" ht="12" customHeight="1">
      <c r="A93" s="401"/>
      <c r="B93" s="404"/>
      <c r="C93" s="408"/>
      <c r="D93" s="405"/>
      <c r="E93" s="402"/>
      <c r="F93" s="402"/>
    </row>
    <row r="94" spans="1:11" ht="12" customHeight="1">
      <c r="A94" s="401"/>
      <c r="B94" s="404"/>
      <c r="C94" s="408"/>
      <c r="D94" s="407"/>
      <c r="E94" s="402"/>
      <c r="F94" s="402"/>
    </row>
    <row r="95" spans="1:11" ht="12" customHeight="1">
      <c r="A95" s="401"/>
      <c r="B95" s="404"/>
      <c r="C95" s="408"/>
      <c r="D95" s="407"/>
      <c r="E95" s="402"/>
      <c r="F95" s="402"/>
    </row>
    <row r="96" spans="1:11" ht="12" customHeight="1">
      <c r="A96" s="401"/>
      <c r="B96" s="404"/>
      <c r="C96" s="408"/>
      <c r="D96" s="407"/>
      <c r="E96" s="402"/>
      <c r="F96" s="402"/>
    </row>
    <row r="97" spans="1:6" ht="12" customHeight="1">
      <c r="A97" s="401"/>
      <c r="B97" s="404"/>
      <c r="C97" s="408"/>
      <c r="D97" s="405"/>
      <c r="E97" s="402"/>
      <c r="F97" s="402"/>
    </row>
    <row r="98" spans="1:6" ht="12" customHeight="1">
      <c r="A98" s="401"/>
      <c r="B98" s="404"/>
      <c r="C98" s="408"/>
      <c r="D98" s="405"/>
      <c r="E98" s="402"/>
      <c r="F98" s="402"/>
    </row>
    <row r="99" spans="1:6" ht="12" customHeight="1">
      <c r="A99" s="401"/>
      <c r="B99" s="404"/>
      <c r="C99" s="408"/>
      <c r="D99" s="405"/>
      <c r="E99" s="402"/>
      <c r="F99" s="402"/>
    </row>
    <row r="100" spans="1:6" ht="12" customHeight="1">
      <c r="B100" s="338"/>
      <c r="C100" s="338"/>
      <c r="D100" s="346"/>
      <c r="E100" s="409"/>
      <c r="F100" s="354"/>
    </row>
    <row r="101" spans="1:6" ht="12" customHeight="1"/>
    <row r="102" spans="1:6" ht="12" customHeight="1"/>
  </sheetData>
  <sheetProtection algorithmName="SHA-512" hashValue="2NUHer/d81VT7jAXY2aCDrkXqsH1wYGjaIyAf9v4hHQ1J/stGlIb1JtpZxMXPvTEg7LZwv35Iz4ZkxqsYvY8kw==" saltValue="+I8eFYQwn8sM3eomC4wUJw==" spinCount="100000" sheet="1"/>
  <mergeCells count="7">
    <mergeCell ref="F21:F24"/>
    <mergeCell ref="B27:E27"/>
    <mergeCell ref="D2:F3"/>
    <mergeCell ref="D4:F9"/>
    <mergeCell ref="F10:F15"/>
    <mergeCell ref="D25:F25"/>
    <mergeCell ref="D26:F26"/>
  </mergeCells>
  <conditionalFormatting sqref="B92:B94">
    <cfRule type="iconSet" priority="80">
      <iconSet iconSet="3Symbols">
        <cfvo type="percent" val="0"/>
        <cfvo type="percent" val="33"/>
        <cfvo type="percent" val="67"/>
      </iconSet>
    </cfRule>
    <cfRule type="expression" priority="84">
      <formula>"H71=1"</formula>
    </cfRule>
  </conditionalFormatting>
  <conditionalFormatting sqref="B92">
    <cfRule type="iconSet" priority="79">
      <iconSet iconSet="3Symbols">
        <cfvo type="percent" val="0"/>
        <cfvo type="percent" val="33"/>
        <cfvo type="percent" val="67"/>
      </iconSet>
    </cfRule>
  </conditionalFormatting>
  <conditionalFormatting sqref="J84">
    <cfRule type="iconSet" priority="81">
      <iconSet iconSet="3Symbols">
        <cfvo type="percent" val="0"/>
        <cfvo type="percent" val="33"/>
        <cfvo type="percent" val="67"/>
      </iconSet>
    </cfRule>
  </conditionalFormatting>
  <conditionalFormatting sqref="N65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5:A91">
    <cfRule type="colorScale" priority="74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A85:A99">
    <cfRule type="cellIs" dxfId="429" priority="72" operator="equal">
      <formula>"ДА"</formula>
    </cfRule>
    <cfRule type="cellIs" dxfId="428" priority="73" operator="equal">
      <formula>"НЕТ"</formula>
    </cfRule>
  </conditionalFormatting>
  <conditionalFormatting sqref="C85:C86 C92:C94 C88:C90 C97:C99">
    <cfRule type="cellIs" dxfId="427" priority="69" operator="equal">
      <formula>"ДА"</formula>
    </cfRule>
    <cfRule type="cellIs" dxfId="426" priority="70" operator="equal">
      <formula>"НЕТ"</formula>
    </cfRule>
  </conditionalFormatting>
  <conditionalFormatting sqref="C85:C86 C88:C90">
    <cfRule type="colorScale" priority="71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91">
    <cfRule type="cellIs" dxfId="425" priority="66" operator="equal">
      <formula>"ДА"</formula>
    </cfRule>
    <cfRule type="cellIs" dxfId="424" priority="67" operator="equal">
      <formula>"НЕТ"</formula>
    </cfRule>
  </conditionalFormatting>
  <conditionalFormatting sqref="C87">
    <cfRule type="cellIs" dxfId="423" priority="63" operator="equal">
      <formula>"ДА"</formula>
    </cfRule>
    <cfRule type="cellIs" dxfId="422" priority="64" operator="equal">
      <formula>"НЕТ"</formula>
    </cfRule>
  </conditionalFormatting>
  <conditionalFormatting sqref="C91">
    <cfRule type="colorScale" priority="68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95">
    <cfRule type="cellIs" dxfId="421" priority="59" operator="equal">
      <formula>"ДА"</formula>
    </cfRule>
    <cfRule type="cellIs" dxfId="420" priority="60" operator="equal">
      <formula>"НЕТ"</formula>
    </cfRule>
  </conditionalFormatting>
  <conditionalFormatting sqref="C87">
    <cfRule type="colorScale" priority="6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B95">
    <cfRule type="iconSet" priority="61">
      <iconSet iconSet="3Symbols">
        <cfvo type="percent" val="0"/>
        <cfvo type="percent" val="33"/>
        <cfvo type="percent" val="67"/>
      </iconSet>
    </cfRule>
    <cfRule type="expression" priority="62">
      <formula>"H71=1"</formula>
    </cfRule>
  </conditionalFormatting>
  <conditionalFormatting sqref="C96">
    <cfRule type="cellIs" dxfId="419" priority="55" operator="equal">
      <formula>"ДА"</formula>
    </cfRule>
    <cfRule type="cellIs" dxfId="418" priority="56" operator="equal">
      <formula>"НЕТ"</formula>
    </cfRule>
  </conditionalFormatting>
  <conditionalFormatting sqref="B96">
    <cfRule type="iconSet" priority="57">
      <iconSet iconSet="3Symbols">
        <cfvo type="percent" val="0"/>
        <cfvo type="percent" val="33"/>
        <cfvo type="percent" val="67"/>
      </iconSet>
    </cfRule>
    <cfRule type="expression" priority="58">
      <formula>"H71=1"</formula>
    </cfRule>
  </conditionalFormatting>
  <conditionalFormatting sqref="I20">
    <cfRule type="cellIs" dxfId="417" priority="49" operator="equal">
      <formula>"ДА"</formula>
    </cfRule>
    <cfRule type="cellIs" dxfId="416" priority="50" operator="equal">
      <formula>"НЕТ"</formula>
    </cfRule>
  </conditionalFormatting>
  <conditionalFormatting sqref="H10:H12">
    <cfRule type="iconSet" priority="33">
      <iconSet iconSet="3Symbols">
        <cfvo type="percent" val="0"/>
        <cfvo type="percent" val="33"/>
        <cfvo type="percent" val="67"/>
      </iconSet>
    </cfRule>
    <cfRule type="expression" priority="34">
      <formula>"H71=1"</formula>
    </cfRule>
  </conditionalFormatting>
  <conditionalFormatting sqref="H10">
    <cfRule type="iconSet" priority="32">
      <iconSet iconSet="3Symbols">
        <cfvo type="percent" val="0"/>
        <cfvo type="percent" val="33"/>
        <cfvo type="percent" val="67"/>
      </iconSet>
    </cfRule>
  </conditionalFormatting>
  <conditionalFormatting sqref="I3:I4 I10:I12 I6:I8 I15:I17">
    <cfRule type="cellIs" dxfId="415" priority="29" operator="equal">
      <formula>"ДА"</formula>
    </cfRule>
    <cfRule type="cellIs" dxfId="414" priority="30" operator="equal">
      <formula>"НЕТ"</formula>
    </cfRule>
  </conditionalFormatting>
  <conditionalFormatting sqref="I3:I4 I6:I8">
    <cfRule type="colorScale" priority="31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413" priority="26" operator="equal">
      <formula>"ДА"</formula>
    </cfRule>
    <cfRule type="cellIs" dxfId="412" priority="27" operator="equal">
      <formula>"НЕТ"</formula>
    </cfRule>
  </conditionalFormatting>
  <conditionalFormatting sqref="I5">
    <cfRule type="cellIs" dxfId="411" priority="23" operator="equal">
      <formula>"ДА"</formula>
    </cfRule>
    <cfRule type="cellIs" dxfId="410" priority="24" operator="equal">
      <formula>"НЕТ"</formula>
    </cfRule>
  </conditionalFormatting>
  <conditionalFormatting sqref="I9">
    <cfRule type="colorScale" priority="28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409" priority="19" operator="equal">
      <formula>"ДА"</formula>
    </cfRule>
    <cfRule type="cellIs" dxfId="408" priority="20" operator="equal">
      <formula>"НЕТ"</formula>
    </cfRule>
  </conditionalFormatting>
  <conditionalFormatting sqref="I5">
    <cfRule type="colorScale" priority="2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21">
      <iconSet iconSet="3Symbols">
        <cfvo type="percent" val="0"/>
        <cfvo type="percent" val="33"/>
        <cfvo type="percent" val="67"/>
      </iconSet>
    </cfRule>
    <cfRule type="expression" priority="22">
      <formula>"H71=1"</formula>
    </cfRule>
  </conditionalFormatting>
  <conditionalFormatting sqref="I14">
    <cfRule type="cellIs" dxfId="407" priority="15" operator="equal">
      <formula>"ДА"</formula>
    </cfRule>
    <cfRule type="cellIs" dxfId="406" priority="16" operator="equal">
      <formula>"НЕТ"</formula>
    </cfRule>
  </conditionalFormatting>
  <conditionalFormatting sqref="H14">
    <cfRule type="iconSet" priority="17">
      <iconSet iconSet="3Symbols">
        <cfvo type="percent" val="0"/>
        <cfvo type="percent" val="33"/>
        <cfvo type="percent" val="67"/>
      </iconSet>
    </cfRule>
    <cfRule type="expression" priority="18">
      <formula>"H71=1"</formula>
    </cfRule>
  </conditionalFormatting>
  <conditionalFormatting sqref="I18">
    <cfRule type="cellIs" dxfId="405" priority="11" operator="equal">
      <formula>"ДА"</formula>
    </cfRule>
    <cfRule type="cellIs" dxfId="404" priority="12" operator="equal">
      <formula>"НЕТ"</formula>
    </cfRule>
  </conditionalFormatting>
  <conditionalFormatting sqref="I19">
    <cfRule type="cellIs" dxfId="403" priority="9" operator="equal">
      <formula>"ДА"</formula>
    </cfRule>
    <cfRule type="cellIs" dxfId="402" priority="10" operator="equal">
      <formula>"НЕТ"</formula>
    </cfRule>
  </conditionalFormatting>
  <conditionalFormatting sqref="K3:K19">
    <cfRule type="cellIs" dxfId="401" priority="8" operator="greaterThan">
      <formula>0</formula>
    </cfRule>
  </conditionalFormatting>
  <conditionalFormatting sqref="J3:J19">
    <cfRule type="cellIs" dxfId="400" priority="4" operator="greaterThan">
      <formula>0</formula>
    </cfRule>
    <cfRule type="cellIs" dxfId="399" priority="7" operator="greaterThan">
      <formula>0</formula>
    </cfRule>
  </conditionalFormatting>
  <conditionalFormatting sqref="C29:E78 C81:E81">
    <cfRule type="cellIs" dxfId="398" priority="6" operator="greaterThan">
      <formula>0</formula>
    </cfRule>
  </conditionalFormatting>
  <conditionalFormatting sqref="E82">
    <cfRule type="cellIs" dxfId="397" priority="5" operator="greaterThan">
      <formula>0</formula>
    </cfRule>
  </conditionalFormatting>
  <conditionalFormatting sqref="C2:C24">
    <cfRule type="cellIs" dxfId="396" priority="3" operator="greaterThan">
      <formula>0</formula>
    </cfRule>
  </conditionalFormatting>
  <conditionalFormatting sqref="C25:C26">
    <cfRule type="cellIs" dxfId="395" priority="2" operator="greaterThan">
      <formula>0</formula>
    </cfRule>
  </conditionalFormatting>
  <conditionalFormatting sqref="C79:E80">
    <cfRule type="cellIs" dxfId="394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M59"/>
  <sheetViews>
    <sheetView workbookViewId="0">
      <pane ySplit="18" topLeftCell="A19" activePane="bottomLeft" state="frozen"/>
      <selection pane="bottomLeft" activeCell="F46" sqref="F46"/>
    </sheetView>
  </sheetViews>
  <sheetFormatPr defaultRowHeight="11.25"/>
  <cols>
    <col min="2" max="2" width="60.1640625" customWidth="1"/>
    <col min="4" max="4" width="11.1640625" customWidth="1"/>
    <col min="5" max="5" width="13.33203125" customWidth="1"/>
    <col min="6" max="6" width="28.1640625" customWidth="1"/>
    <col min="7" max="7" width="3.1640625" customWidth="1"/>
    <col min="8" max="8" width="47.33203125" customWidth="1"/>
    <col min="9" max="9" width="4.5" customWidth="1"/>
  </cols>
  <sheetData>
    <row r="1" spans="1:13" ht="54.75" customHeight="1" thickBot="1">
      <c r="A1" s="535"/>
      <c r="B1" s="1085"/>
      <c r="C1" s="1086"/>
      <c r="D1" s="1086"/>
      <c r="E1" s="1086"/>
      <c r="F1" s="535"/>
      <c r="G1" s="501"/>
      <c r="H1" s="501"/>
      <c r="I1" s="501"/>
      <c r="J1" s="501"/>
      <c r="K1" s="501"/>
      <c r="L1" s="501"/>
    </row>
    <row r="2" spans="1:13" ht="11.25" customHeight="1" thickBot="1">
      <c r="A2" s="535"/>
      <c r="B2" s="503" t="s">
        <v>10</v>
      </c>
      <c r="C2" s="554">
        <v>0</v>
      </c>
      <c r="D2" s="1047" t="s">
        <v>675</v>
      </c>
      <c r="E2" s="1048"/>
      <c r="F2" s="1049"/>
      <c r="G2" s="501"/>
      <c r="H2" s="505" t="s">
        <v>565</v>
      </c>
      <c r="I2" s="718" t="s">
        <v>684</v>
      </c>
      <c r="J2" s="506" t="s">
        <v>4</v>
      </c>
      <c r="K2" s="507" t="s">
        <v>8</v>
      </c>
      <c r="L2" s="501"/>
    </row>
    <row r="3" spans="1:13" ht="13.5" thickBot="1">
      <c r="A3" s="535"/>
      <c r="B3" s="508" t="s">
        <v>1</v>
      </c>
      <c r="C3" s="555">
        <v>0</v>
      </c>
      <c r="D3" s="1050"/>
      <c r="E3" s="1051"/>
      <c r="F3" s="1052"/>
      <c r="G3" s="501"/>
      <c r="H3" s="509" t="s">
        <v>569</v>
      </c>
      <c r="I3" s="719" t="str">
        <f>IF(AND($C$6+$C$7=1,$C$8+$C$9=0,$C$10=1),"ДА","НЕТ")</f>
        <v>НЕТ</v>
      </c>
      <c r="J3" s="413"/>
      <c r="K3" s="414">
        <f>IF(I3="ДА",($C$4+$C$5)*J3,0)</f>
        <v>0</v>
      </c>
      <c r="L3" s="501"/>
    </row>
    <row r="4" spans="1:13" ht="12.75" customHeight="1">
      <c r="A4" s="535"/>
      <c r="B4" s="515" t="s">
        <v>492</v>
      </c>
      <c r="C4" s="645">
        <v>0</v>
      </c>
      <c r="D4" s="1047" t="s">
        <v>677</v>
      </c>
      <c r="E4" s="1048"/>
      <c r="F4" s="1049"/>
      <c r="G4" s="582"/>
      <c r="H4" s="514" t="s">
        <v>566</v>
      </c>
      <c r="I4" s="720" t="str">
        <f>IF(AND($C$6+$C$7=1,$C$8+$C$9=0,$C$10=3),"ДА","НЕТ")</f>
        <v>НЕТ</v>
      </c>
      <c r="J4" s="417"/>
      <c r="K4" s="414">
        <f t="shared" ref="K4:K15" si="0">IF(I4="ДА",($C$4+$C$5)*J4,0)</f>
        <v>0</v>
      </c>
      <c r="L4" s="582"/>
    </row>
    <row r="5" spans="1:13" ht="13.5" thickBot="1">
      <c r="A5" s="535"/>
      <c r="B5" s="536" t="s">
        <v>493</v>
      </c>
      <c r="C5" s="646">
        <v>0</v>
      </c>
      <c r="D5" s="1050"/>
      <c r="E5" s="1051"/>
      <c r="F5" s="1052"/>
      <c r="G5" s="619"/>
      <c r="H5" s="514" t="s">
        <v>671</v>
      </c>
      <c r="I5" s="720" t="str">
        <f>IF(AND($C$6+$C$7=1,$C$8+$C$9=0,$C$10=3),"ДА","НЕТ")</f>
        <v>НЕТ</v>
      </c>
      <c r="J5" s="417"/>
      <c r="K5" s="414">
        <f t="shared" si="0"/>
        <v>0</v>
      </c>
      <c r="L5" s="619"/>
      <c r="M5" s="338"/>
    </row>
    <row r="6" spans="1:13" ht="12.75" customHeight="1">
      <c r="A6" s="535"/>
      <c r="B6" s="503" t="s">
        <v>578</v>
      </c>
      <c r="C6" s="560">
        <v>0</v>
      </c>
      <c r="D6" s="516" t="s">
        <v>365</v>
      </c>
      <c r="E6" s="721" t="s">
        <v>327</v>
      </c>
      <c r="F6" s="1055" t="s">
        <v>677</v>
      </c>
      <c r="G6" s="619"/>
      <c r="H6" s="514" t="s">
        <v>567</v>
      </c>
      <c r="I6" s="720" t="str">
        <f>IF(AND($C$6+$C$7=1,$C$8+$C$9=0,$C$10=2),"ДА","НЕТ")</f>
        <v>НЕТ</v>
      </c>
      <c r="J6" s="417"/>
      <c r="K6" s="414">
        <f t="shared" si="0"/>
        <v>0</v>
      </c>
      <c r="L6" s="619"/>
      <c r="M6" s="338"/>
    </row>
    <row r="7" spans="1:13" ht="12.75">
      <c r="A7" s="535"/>
      <c r="B7" s="513" t="s">
        <v>579</v>
      </c>
      <c r="C7" s="557">
        <v>0</v>
      </c>
      <c r="D7" s="520" t="s">
        <v>365</v>
      </c>
      <c r="E7" s="520" t="s">
        <v>327</v>
      </c>
      <c r="F7" s="1056"/>
      <c r="G7" s="619"/>
      <c r="H7" s="514" t="s">
        <v>568</v>
      </c>
      <c r="I7" s="720" t="str">
        <f>IF(AND($C$6+$C$7=1,$C$8+$C$9=0,$C$10=2),"ДА","НЕТ")</f>
        <v>НЕТ</v>
      </c>
      <c r="J7" s="417"/>
      <c r="K7" s="414">
        <f t="shared" si="0"/>
        <v>0</v>
      </c>
      <c r="L7" s="619"/>
      <c r="M7" s="338"/>
    </row>
    <row r="8" spans="1:13" ht="12.75">
      <c r="A8" s="535"/>
      <c r="B8" s="513" t="s">
        <v>580</v>
      </c>
      <c r="C8" s="557">
        <v>0</v>
      </c>
      <c r="D8" s="520" t="s">
        <v>365</v>
      </c>
      <c r="E8" s="520" t="s">
        <v>327</v>
      </c>
      <c r="F8" s="1056"/>
      <c r="G8" s="619"/>
      <c r="H8" s="514" t="s">
        <v>574</v>
      </c>
      <c r="I8" s="720" t="str">
        <f>IF(AND($C$6+$C$7=1,$C$8+$C$9=0,$C$10=2),"ДА","НЕТ")</f>
        <v>НЕТ</v>
      </c>
      <c r="J8" s="417"/>
      <c r="K8" s="414">
        <f t="shared" si="0"/>
        <v>0</v>
      </c>
      <c r="L8" s="619"/>
      <c r="M8" s="338"/>
    </row>
    <row r="9" spans="1:13" ht="13.5" thickBot="1">
      <c r="A9" s="535"/>
      <c r="B9" s="586" t="s">
        <v>581</v>
      </c>
      <c r="C9" s="568">
        <v>0</v>
      </c>
      <c r="D9" s="722" t="s">
        <v>365</v>
      </c>
      <c r="E9" s="613" t="s">
        <v>327</v>
      </c>
      <c r="F9" s="1057"/>
      <c r="G9" s="619"/>
      <c r="H9" s="509" t="s">
        <v>670</v>
      </c>
      <c r="I9" s="720" t="str">
        <f>IF(AND($C$6+$C$7=1,$C$8+$C$9=0,$C$10=1),"ДА","НЕТ")</f>
        <v>НЕТ</v>
      </c>
      <c r="J9" s="413"/>
      <c r="K9" s="414">
        <f t="shared" si="0"/>
        <v>0</v>
      </c>
      <c r="L9" s="619"/>
      <c r="M9" s="338"/>
    </row>
    <row r="10" spans="1:13" ht="13.5" thickBot="1">
      <c r="A10" s="535"/>
      <c r="B10" s="525" t="s">
        <v>669</v>
      </c>
      <c r="C10" s="644"/>
      <c r="D10" s="529" t="s">
        <v>699</v>
      </c>
      <c r="E10" s="529" t="s">
        <v>700</v>
      </c>
      <c r="F10" s="723" t="s">
        <v>701</v>
      </c>
      <c r="G10" s="619"/>
      <c r="H10" s="509" t="s">
        <v>462</v>
      </c>
      <c r="I10" s="720" t="str">
        <f>IF(AND($C$6+$C$7=0,$C$8+$C$9=1,$C$10=1),"ДА","НЕТ")</f>
        <v>НЕТ</v>
      </c>
      <c r="J10" s="420"/>
      <c r="K10" s="414">
        <f t="shared" si="0"/>
        <v>0</v>
      </c>
      <c r="L10" s="619"/>
      <c r="M10" s="338"/>
    </row>
    <row r="11" spans="1:13" ht="12.75">
      <c r="A11" s="535"/>
      <c r="B11" s="515" t="s">
        <v>472</v>
      </c>
      <c r="C11" s="558">
        <v>0</v>
      </c>
      <c r="D11" s="724" t="s">
        <v>473</v>
      </c>
      <c r="E11" s="518" t="s">
        <v>474</v>
      </c>
      <c r="F11" s="1087"/>
      <c r="G11" s="501"/>
      <c r="H11" s="512" t="s">
        <v>463</v>
      </c>
      <c r="I11" s="720" t="str">
        <f>IF(AND($C$6+$C$7=0,$C$8+$C$9=1,$C$10=1),"ДА","НЕТ")</f>
        <v>НЕТ</v>
      </c>
      <c r="J11" s="420"/>
      <c r="K11" s="414">
        <f t="shared" si="0"/>
        <v>0</v>
      </c>
      <c r="L11" s="501"/>
    </row>
    <row r="12" spans="1:13" ht="13.5" thickBot="1">
      <c r="A12" s="535"/>
      <c r="B12" s="586" t="s">
        <v>436</v>
      </c>
      <c r="C12" s="568">
        <v>0</v>
      </c>
      <c r="D12" s="587" t="s">
        <v>496</v>
      </c>
      <c r="E12" s="587" t="s">
        <v>497</v>
      </c>
      <c r="F12" s="1088"/>
      <c r="G12" s="501"/>
      <c r="H12" s="512" t="s">
        <v>464</v>
      </c>
      <c r="I12" s="720" t="str">
        <f>IF(AND($C$6+$C$7=0,$C$8+$C$9=1,$C$10=1),"ДА","НЕТ")</f>
        <v>НЕТ</v>
      </c>
      <c r="J12" s="423"/>
      <c r="K12" s="414">
        <f t="shared" si="0"/>
        <v>0</v>
      </c>
      <c r="L12" s="501"/>
    </row>
    <row r="13" spans="1:13" ht="12.75" customHeight="1">
      <c r="A13" s="535"/>
      <c r="B13" s="503" t="s">
        <v>476</v>
      </c>
      <c r="C13" s="560">
        <v>0</v>
      </c>
      <c r="D13" s="516" t="s">
        <v>365</v>
      </c>
      <c r="E13" s="516" t="s">
        <v>327</v>
      </c>
      <c r="F13" s="1068" t="s">
        <v>677</v>
      </c>
      <c r="G13" s="501"/>
      <c r="H13" s="509" t="s">
        <v>467</v>
      </c>
      <c r="I13" s="720" t="str">
        <f>IF(AND($C$6+$C$7=0,$C$8+$C$9=1,$C$10=2),"ДА","НЕТ")</f>
        <v>НЕТ</v>
      </c>
      <c r="J13" s="420"/>
      <c r="K13" s="414">
        <f t="shared" si="0"/>
        <v>0</v>
      </c>
      <c r="L13" s="501"/>
    </row>
    <row r="14" spans="1:13" ht="13.5" thickBot="1">
      <c r="A14" s="535"/>
      <c r="B14" s="508" t="s">
        <v>477</v>
      </c>
      <c r="C14" s="559">
        <v>0</v>
      </c>
      <c r="D14" s="583" t="s">
        <v>365</v>
      </c>
      <c r="E14" s="583" t="s">
        <v>327</v>
      </c>
      <c r="F14" s="1069"/>
      <c r="G14" s="726"/>
      <c r="H14" s="512" t="s">
        <v>468</v>
      </c>
      <c r="I14" s="720" t="str">
        <f>IF(AND($C$6+$C$7=0,$C$8+$C$9=1,$C$10=2),"ДА","НЕТ")</f>
        <v>НЕТ</v>
      </c>
      <c r="J14" s="420"/>
      <c r="K14" s="414">
        <f t="shared" si="0"/>
        <v>0</v>
      </c>
      <c r="L14" s="726"/>
    </row>
    <row r="15" spans="1:13" ht="12.75">
      <c r="A15" s="535"/>
      <c r="B15" s="826" t="s">
        <v>205</v>
      </c>
      <c r="C15" s="560">
        <v>0</v>
      </c>
      <c r="D15" s="1059" t="s">
        <v>766</v>
      </c>
      <c r="E15" s="1059"/>
      <c r="F15" s="1060"/>
      <c r="G15" s="501"/>
      <c r="H15" s="512" t="s">
        <v>469</v>
      </c>
      <c r="I15" s="720" t="str">
        <f>IF(AND($C$6+$C$7=0,$C$8+$C$9=1,$C$10=2),"ДА","НЕТ")</f>
        <v>НЕТ</v>
      </c>
      <c r="J15" s="420"/>
      <c r="K15" s="414">
        <f t="shared" si="0"/>
        <v>0</v>
      </c>
      <c r="L15" s="501"/>
    </row>
    <row r="16" spans="1:13" ht="13.5" thickBot="1">
      <c r="A16" s="535"/>
      <c r="B16" s="827" t="s">
        <v>204</v>
      </c>
      <c r="C16" s="559">
        <v>0</v>
      </c>
      <c r="D16" s="1065" t="s">
        <v>767</v>
      </c>
      <c r="E16" s="1065"/>
      <c r="F16" s="1066"/>
      <c r="G16" s="501"/>
      <c r="H16" s="660"/>
      <c r="I16" s="825"/>
      <c r="J16" s="431"/>
      <c r="K16" s="432"/>
      <c r="L16" s="501"/>
    </row>
    <row r="17" spans="1:12" ht="13.5" thickBot="1">
      <c r="A17" s="535"/>
      <c r="B17" s="820"/>
      <c r="C17" s="820"/>
      <c r="D17" s="820"/>
      <c r="E17" s="820"/>
      <c r="F17" s="535"/>
      <c r="G17" s="501"/>
      <c r="H17" s="660"/>
      <c r="I17" s="825"/>
      <c r="J17" s="431"/>
      <c r="K17" s="432"/>
      <c r="L17" s="501"/>
    </row>
    <row r="18" spans="1:12" ht="12.75">
      <c r="A18" s="535"/>
      <c r="B18" s="540" t="s">
        <v>5</v>
      </c>
      <c r="C18" s="541" t="s">
        <v>0</v>
      </c>
      <c r="D18" s="727" t="s">
        <v>4</v>
      </c>
      <c r="E18" s="543" t="s">
        <v>8</v>
      </c>
      <c r="F18" s="535"/>
      <c r="G18" s="501"/>
      <c r="H18" s="501"/>
      <c r="I18" s="501"/>
      <c r="J18" s="501"/>
      <c r="K18" s="501"/>
      <c r="L18" s="501"/>
    </row>
    <row r="19" spans="1:12">
      <c r="A19" s="535"/>
      <c r="B19" s="547" t="s">
        <v>721</v>
      </c>
      <c r="C19" s="442">
        <f>EVEN(ROUNDDOWN(IF(C4+C5&gt;0.9,(C4+C5)*C2/0.5,0),0))</f>
        <v>0</v>
      </c>
      <c r="D19" s="443"/>
      <c r="E19" s="439">
        <f>C19*D19</f>
        <v>0</v>
      </c>
      <c r="F19" s="537"/>
      <c r="G19" s="585"/>
      <c r="H19" s="501"/>
      <c r="I19" s="501"/>
      <c r="J19" s="501"/>
      <c r="K19" s="501"/>
      <c r="L19" s="501"/>
    </row>
    <row r="20" spans="1:12">
      <c r="A20" s="535"/>
      <c r="B20" s="547" t="s">
        <v>538</v>
      </c>
      <c r="C20" s="442">
        <f>IF(AND(C6+C7&gt;0,C8+C9=0,C11=1,C12=0),(C4+C5)*2,0)</f>
        <v>0</v>
      </c>
      <c r="D20" s="443"/>
      <c r="E20" s="439">
        <f t="shared" ref="E20:E29" si="1">C20*D20</f>
        <v>0</v>
      </c>
      <c r="F20" s="539"/>
      <c r="G20" s="501"/>
      <c r="H20" s="501"/>
      <c r="I20" s="501"/>
      <c r="J20" s="501"/>
      <c r="K20" s="501"/>
      <c r="L20" s="501"/>
    </row>
    <row r="21" spans="1:12">
      <c r="A21" s="535"/>
      <c r="B21" s="547" t="s">
        <v>539</v>
      </c>
      <c r="C21" s="437">
        <f>IF(AND(C6+C7&gt;0,C8+C9=0,C11=1,C12=1),(C4+C5)*2,0)</f>
        <v>0</v>
      </c>
      <c r="D21" s="438"/>
      <c r="E21" s="439">
        <f t="shared" si="1"/>
        <v>0</v>
      </c>
      <c r="F21" s="535"/>
      <c r="G21" s="501"/>
      <c r="H21" s="501"/>
      <c r="I21" s="501"/>
      <c r="J21" s="501"/>
      <c r="K21" s="501"/>
      <c r="L21" s="501"/>
    </row>
    <row r="22" spans="1:12">
      <c r="A22" s="535"/>
      <c r="B22" s="547" t="s">
        <v>499</v>
      </c>
      <c r="C22" s="442">
        <f>IF(AND(C6+C7&gt;0,C8+C9=0,C11=0,C12=0),(C4+C5)*2,0)</f>
        <v>0</v>
      </c>
      <c r="D22" s="443"/>
      <c r="E22" s="439">
        <f t="shared" si="1"/>
        <v>0</v>
      </c>
      <c r="F22" s="546"/>
      <c r="G22" s="728"/>
      <c r="H22" s="501"/>
      <c r="I22" s="501"/>
      <c r="J22" s="501"/>
      <c r="K22" s="501"/>
      <c r="L22" s="501"/>
    </row>
    <row r="23" spans="1:12">
      <c r="A23" s="535"/>
      <c r="B23" s="547" t="s">
        <v>500</v>
      </c>
      <c r="C23" s="445">
        <f>IF(AND(C6+C7&gt;0,C8+C9=0,C11=0,C12=1),(C4+C5)*2,0)</f>
        <v>0</v>
      </c>
      <c r="D23" s="446"/>
      <c r="E23" s="439">
        <f t="shared" si="1"/>
        <v>0</v>
      </c>
      <c r="F23" s="729"/>
      <c r="G23" s="728"/>
      <c r="H23" s="501"/>
      <c r="I23" s="501"/>
      <c r="J23" s="501"/>
      <c r="K23" s="501"/>
      <c r="L23" s="501"/>
    </row>
    <row r="24" spans="1:12">
      <c r="A24" s="535"/>
      <c r="B24" s="547" t="s">
        <v>538</v>
      </c>
      <c r="C24" s="442">
        <f>IF(AND(C6+C7=0,C8+C9&gt;0,C11=1,C12=0),(C4+C5),0)</f>
        <v>0</v>
      </c>
      <c r="D24" s="443"/>
      <c r="E24" s="439">
        <f t="shared" si="1"/>
        <v>0</v>
      </c>
      <c r="F24" s="535"/>
      <c r="G24" s="501"/>
      <c r="H24" s="501"/>
      <c r="I24" s="501"/>
      <c r="J24" s="501"/>
      <c r="K24" s="501"/>
      <c r="L24" s="501"/>
    </row>
    <row r="25" spans="1:12">
      <c r="A25" s="535"/>
      <c r="B25" s="547" t="s">
        <v>539</v>
      </c>
      <c r="C25" s="437">
        <f>IF(AND(C6+C7=0,C8+C9&gt;0,C11=1,C12=1),(C4+C5),0)</f>
        <v>0</v>
      </c>
      <c r="D25" s="438"/>
      <c r="E25" s="439">
        <f t="shared" si="1"/>
        <v>0</v>
      </c>
      <c r="F25" s="535"/>
      <c r="G25" s="501"/>
      <c r="H25" s="501"/>
      <c r="I25" s="501"/>
      <c r="J25" s="501"/>
      <c r="K25" s="501"/>
      <c r="L25" s="501"/>
    </row>
    <row r="26" spans="1:12">
      <c r="A26" s="535"/>
      <c r="B26" s="547" t="s">
        <v>499</v>
      </c>
      <c r="C26" s="442">
        <f>IF(AND(C6+C7=0,C8+C9&gt;0,C11=0,C12=0),(C4+C5),0)</f>
        <v>0</v>
      </c>
      <c r="D26" s="443"/>
      <c r="E26" s="439">
        <f t="shared" si="1"/>
        <v>0</v>
      </c>
      <c r="F26" s="535"/>
      <c r="G26" s="501"/>
      <c r="H26" s="501"/>
      <c r="I26" s="501"/>
      <c r="J26" s="501"/>
      <c r="K26" s="501"/>
      <c r="L26" s="501"/>
    </row>
    <row r="27" spans="1:12">
      <c r="A27" s="535"/>
      <c r="B27" s="547" t="s">
        <v>500</v>
      </c>
      <c r="C27" s="445">
        <f>IF(AND(C6+C7=0,C8+C9&gt;0,C11=0,C12=1),(C4+C5),0)</f>
        <v>0</v>
      </c>
      <c r="D27" s="446"/>
      <c r="E27" s="439">
        <f t="shared" si="1"/>
        <v>0</v>
      </c>
      <c r="F27" s="535"/>
      <c r="G27" s="501"/>
      <c r="H27" s="501"/>
      <c r="I27" s="501"/>
      <c r="J27" s="501"/>
      <c r="K27" s="501"/>
      <c r="L27" s="501"/>
    </row>
    <row r="28" spans="1:12">
      <c r="A28" s="535"/>
      <c r="B28" s="547" t="s">
        <v>591</v>
      </c>
      <c r="C28" s="442">
        <f>IF(AND(C6+C7=0,C8+C9&gt;0,C12=0),(C4+C5),0)</f>
        <v>0</v>
      </c>
      <c r="D28" s="443"/>
      <c r="E28" s="439">
        <f t="shared" si="1"/>
        <v>0</v>
      </c>
      <c r="F28" s="535"/>
      <c r="G28" s="501"/>
      <c r="H28" s="501"/>
      <c r="I28" s="501"/>
      <c r="J28" s="501"/>
      <c r="K28" s="501"/>
      <c r="L28" s="501"/>
    </row>
    <row r="29" spans="1:12">
      <c r="A29" s="535"/>
      <c r="B29" s="547" t="s">
        <v>592</v>
      </c>
      <c r="C29" s="445">
        <f>IF(AND(C6+C7=0,C8+C9&gt;0,C12=1),(C4+C5),0)</f>
        <v>0</v>
      </c>
      <c r="D29" s="446"/>
      <c r="E29" s="439">
        <f t="shared" si="1"/>
        <v>0</v>
      </c>
      <c r="F29" s="539"/>
      <c r="G29" s="501"/>
      <c r="H29" s="501"/>
      <c r="I29" s="501"/>
      <c r="J29" s="501"/>
      <c r="K29" s="501"/>
      <c r="L29" s="501"/>
    </row>
    <row r="30" spans="1:12">
      <c r="A30" s="535"/>
      <c r="B30" s="547" t="s">
        <v>723</v>
      </c>
      <c r="C30" s="445">
        <f>(C4+C5)*2</f>
        <v>0</v>
      </c>
      <c r="D30" s="446"/>
      <c r="E30" s="439">
        <f t="shared" ref="E30:E50" si="2">C30*D30</f>
        <v>0</v>
      </c>
      <c r="F30" s="535"/>
      <c r="G30" s="501"/>
      <c r="H30" s="501"/>
      <c r="I30" s="501"/>
      <c r="J30" s="501"/>
      <c r="K30" s="501"/>
      <c r="L30" s="501"/>
    </row>
    <row r="31" spans="1:12">
      <c r="A31" s="535"/>
      <c r="B31" s="547" t="s">
        <v>511</v>
      </c>
      <c r="C31" s="437">
        <f>C4</f>
        <v>0</v>
      </c>
      <c r="D31" s="438"/>
      <c r="E31" s="439">
        <f t="shared" si="2"/>
        <v>0</v>
      </c>
      <c r="F31" s="535"/>
      <c r="G31" s="501"/>
      <c r="H31" s="501"/>
      <c r="I31" s="501"/>
      <c r="J31" s="501"/>
      <c r="K31" s="501"/>
      <c r="L31" s="501"/>
    </row>
    <row r="32" spans="1:12">
      <c r="A32" s="535"/>
      <c r="B32" s="547" t="s">
        <v>512</v>
      </c>
      <c r="C32" s="442">
        <f>C4*2</f>
        <v>0</v>
      </c>
      <c r="D32" s="443"/>
      <c r="E32" s="439">
        <f t="shared" si="2"/>
        <v>0</v>
      </c>
      <c r="F32" s="535"/>
      <c r="G32" s="501"/>
      <c r="H32" s="501"/>
      <c r="I32" s="501"/>
      <c r="J32" s="501"/>
      <c r="K32" s="501"/>
      <c r="L32" s="501"/>
    </row>
    <row r="33" spans="1:12">
      <c r="A33" s="535"/>
      <c r="B33" s="547" t="s">
        <v>513</v>
      </c>
      <c r="C33" s="442">
        <f>C5</f>
        <v>0</v>
      </c>
      <c r="D33" s="443"/>
      <c r="E33" s="439">
        <f t="shared" si="2"/>
        <v>0</v>
      </c>
      <c r="F33" s="535"/>
      <c r="G33" s="501"/>
      <c r="H33" s="501"/>
      <c r="I33" s="501"/>
      <c r="J33" s="501"/>
      <c r="K33" s="501"/>
      <c r="L33" s="501"/>
    </row>
    <row r="34" spans="1:12">
      <c r="A34" s="535"/>
      <c r="B34" s="547" t="s">
        <v>731</v>
      </c>
      <c r="C34" s="442">
        <f>(C4+C5)*2</f>
        <v>0</v>
      </c>
      <c r="D34" s="443"/>
      <c r="E34" s="439">
        <f t="shared" si="2"/>
        <v>0</v>
      </c>
      <c r="F34" s="535"/>
      <c r="G34" s="501"/>
      <c r="H34" s="501"/>
      <c r="I34" s="501"/>
      <c r="J34" s="501"/>
      <c r="K34" s="501"/>
      <c r="L34" s="501"/>
    </row>
    <row r="35" spans="1:12">
      <c r="A35" s="535"/>
      <c r="B35" s="545" t="s">
        <v>553</v>
      </c>
      <c r="C35" s="442">
        <f>(C4+C5)*C2*2</f>
        <v>0</v>
      </c>
      <c r="D35" s="443"/>
      <c r="E35" s="439">
        <f t="shared" si="2"/>
        <v>0</v>
      </c>
      <c r="F35" s="535"/>
      <c r="G35" s="501"/>
      <c r="H35" s="501"/>
      <c r="I35" s="501"/>
      <c r="J35" s="501"/>
      <c r="K35" s="501"/>
      <c r="L35" s="501"/>
    </row>
    <row r="36" spans="1:12">
      <c r="A36" s="535"/>
      <c r="B36" s="547" t="s">
        <v>480</v>
      </c>
      <c r="C36" s="442">
        <f>(C4+C5)*C2</f>
        <v>0</v>
      </c>
      <c r="D36" s="449"/>
      <c r="E36" s="439">
        <f t="shared" si="2"/>
        <v>0</v>
      </c>
      <c r="F36" s="535"/>
      <c r="G36" s="501"/>
      <c r="H36" s="501"/>
      <c r="I36" s="501"/>
      <c r="J36" s="501"/>
      <c r="K36" s="501"/>
      <c r="L36" s="501"/>
    </row>
    <row r="37" spans="1:12">
      <c r="A37" s="535"/>
      <c r="B37" s="547" t="s">
        <v>481</v>
      </c>
      <c r="C37" s="442">
        <f>C14*(C4+C5)*C2</f>
        <v>0</v>
      </c>
      <c r="D37" s="449"/>
      <c r="E37" s="439">
        <f t="shared" si="2"/>
        <v>0</v>
      </c>
      <c r="F37" s="535"/>
      <c r="G37" s="501"/>
      <c r="H37" s="501"/>
      <c r="I37" s="501"/>
      <c r="J37" s="501"/>
      <c r="K37" s="501"/>
      <c r="L37" s="501"/>
    </row>
    <row r="38" spans="1:12">
      <c r="A38" s="535"/>
      <c r="B38" s="545" t="s">
        <v>478</v>
      </c>
      <c r="C38" s="437">
        <f>IF(C14=0,C13*2*(C4+C5),0)</f>
        <v>0</v>
      </c>
      <c r="D38" s="449"/>
      <c r="E38" s="439">
        <f t="shared" si="2"/>
        <v>0</v>
      </c>
      <c r="F38" s="535"/>
      <c r="G38" s="501"/>
      <c r="H38" s="501"/>
      <c r="I38" s="501"/>
      <c r="J38" s="501"/>
      <c r="K38" s="501"/>
      <c r="L38" s="501"/>
    </row>
    <row r="39" spans="1:12">
      <c r="A39" s="535"/>
      <c r="B39" s="545" t="s">
        <v>479</v>
      </c>
      <c r="C39" s="437">
        <f>IF(C13=0,C14*(C4+C5),0)</f>
        <v>0</v>
      </c>
      <c r="D39" s="449"/>
      <c r="E39" s="439">
        <f t="shared" si="2"/>
        <v>0</v>
      </c>
      <c r="F39" s="535"/>
      <c r="G39" s="501"/>
      <c r="H39" s="501"/>
      <c r="I39" s="501"/>
      <c r="J39" s="501"/>
      <c r="K39" s="501"/>
      <c r="L39" s="501"/>
    </row>
    <row r="40" spans="1:12">
      <c r="A40" s="535"/>
      <c r="B40" s="545" t="s">
        <v>540</v>
      </c>
      <c r="C40" s="450">
        <f>C4*C2</f>
        <v>0</v>
      </c>
      <c r="D40" s="443"/>
      <c r="E40" s="439">
        <f t="shared" si="2"/>
        <v>0</v>
      </c>
      <c r="F40" s="535"/>
      <c r="G40" s="501"/>
      <c r="H40" s="501"/>
      <c r="I40" s="501"/>
      <c r="J40" s="501"/>
      <c r="K40" s="501"/>
      <c r="L40" s="501"/>
    </row>
    <row r="41" spans="1:12">
      <c r="A41" s="535"/>
      <c r="B41" s="545" t="s">
        <v>541</v>
      </c>
      <c r="C41" s="450">
        <f>C5*C2</f>
        <v>0</v>
      </c>
      <c r="D41" s="443"/>
      <c r="E41" s="439">
        <f t="shared" si="2"/>
        <v>0</v>
      </c>
      <c r="F41" s="549"/>
      <c r="G41" s="501"/>
      <c r="H41" s="501"/>
      <c r="I41" s="501"/>
      <c r="J41" s="501"/>
      <c r="K41" s="501"/>
      <c r="L41" s="501"/>
    </row>
    <row r="42" spans="1:12" ht="11.25" customHeight="1">
      <c r="A42" s="535"/>
      <c r="B42" s="545" t="s">
        <v>501</v>
      </c>
      <c r="C42" s="450">
        <f>(C4+C5)*C2</f>
        <v>0</v>
      </c>
      <c r="D42" s="443"/>
      <c r="E42" s="439">
        <f t="shared" si="2"/>
        <v>0</v>
      </c>
      <c r="F42" s="535"/>
      <c r="G42" s="501"/>
      <c r="H42" s="501"/>
      <c r="I42" s="501"/>
      <c r="J42" s="501"/>
      <c r="K42" s="501"/>
      <c r="L42" s="501"/>
    </row>
    <row r="43" spans="1:12">
      <c r="A43" s="535"/>
      <c r="B43" s="547" t="s">
        <v>727</v>
      </c>
      <c r="C43" s="450">
        <f>C4+C5</f>
        <v>0</v>
      </c>
      <c r="D43" s="443"/>
      <c r="E43" s="439">
        <f t="shared" si="2"/>
        <v>0</v>
      </c>
      <c r="F43" s="535"/>
      <c r="G43" s="501"/>
      <c r="H43" s="501"/>
      <c r="I43" s="501"/>
      <c r="J43" s="501"/>
      <c r="K43" s="501"/>
      <c r="L43" s="501"/>
    </row>
    <row r="44" spans="1:12">
      <c r="A44" s="535"/>
      <c r="B44" s="547" t="s">
        <v>503</v>
      </c>
      <c r="C44" s="450">
        <f>(C4+C5)*4</f>
        <v>0</v>
      </c>
      <c r="D44" s="443"/>
      <c r="E44" s="439">
        <f t="shared" si="2"/>
        <v>0</v>
      </c>
      <c r="F44" s="535"/>
      <c r="G44" s="501"/>
      <c r="H44" s="501"/>
      <c r="I44" s="501"/>
      <c r="J44" s="501"/>
      <c r="K44" s="501"/>
      <c r="L44" s="501"/>
    </row>
    <row r="45" spans="1:12">
      <c r="A45" s="535"/>
      <c r="B45" s="548" t="s">
        <v>456</v>
      </c>
      <c r="C45" s="450">
        <f>C6*C4</f>
        <v>0</v>
      </c>
      <c r="D45" s="449"/>
      <c r="E45" s="439">
        <f t="shared" si="2"/>
        <v>0</v>
      </c>
      <c r="F45" s="535"/>
      <c r="G45" s="501"/>
      <c r="H45" s="501"/>
      <c r="I45" s="501"/>
      <c r="J45" s="501"/>
      <c r="K45" s="501"/>
      <c r="L45" s="501"/>
    </row>
    <row r="46" spans="1:12">
      <c r="A46" s="535"/>
      <c r="B46" s="548" t="s">
        <v>678</v>
      </c>
      <c r="C46" s="450">
        <f>C8*C6</f>
        <v>0</v>
      </c>
      <c r="D46" s="449"/>
      <c r="E46" s="439">
        <f t="shared" si="2"/>
        <v>0</v>
      </c>
      <c r="F46" s="535"/>
      <c r="G46" s="501"/>
      <c r="H46" s="501"/>
      <c r="I46" s="501"/>
      <c r="J46" s="501"/>
      <c r="K46" s="501"/>
      <c r="L46" s="501"/>
    </row>
    <row r="47" spans="1:12" ht="11.25" customHeight="1">
      <c r="A47" s="535"/>
      <c r="B47" s="548" t="s">
        <v>515</v>
      </c>
      <c r="C47" s="450">
        <f>C7*C5</f>
        <v>0</v>
      </c>
      <c r="D47" s="443"/>
      <c r="E47" s="439">
        <f t="shared" si="2"/>
        <v>0</v>
      </c>
      <c r="F47" s="535"/>
      <c r="G47" s="501"/>
      <c r="H47" s="501"/>
      <c r="I47" s="501"/>
      <c r="J47" s="501"/>
      <c r="K47" s="501"/>
      <c r="L47" s="501"/>
    </row>
    <row r="48" spans="1:12" ht="11.25" customHeight="1">
      <c r="A48" s="535"/>
      <c r="B48" s="621" t="s">
        <v>203</v>
      </c>
      <c r="C48" s="602">
        <f>C16</f>
        <v>0</v>
      </c>
      <c r="D48" s="618"/>
      <c r="E48" s="496">
        <f t="shared" si="2"/>
        <v>0</v>
      </c>
      <c r="F48" s="535"/>
      <c r="G48" s="501"/>
      <c r="H48" s="501"/>
      <c r="I48" s="501"/>
      <c r="J48" s="501"/>
      <c r="K48" s="501"/>
      <c r="L48" s="501"/>
    </row>
    <row r="49" spans="1:12" ht="11.25" customHeight="1">
      <c r="A49" s="535"/>
      <c r="B49" s="547" t="s">
        <v>206</v>
      </c>
      <c r="C49" s="442">
        <f>C15</f>
        <v>0</v>
      </c>
      <c r="D49" s="449"/>
      <c r="E49" s="439">
        <f t="shared" si="2"/>
        <v>0</v>
      </c>
      <c r="F49" s="535"/>
      <c r="G49" s="501"/>
      <c r="H49" s="501"/>
      <c r="I49" s="501"/>
      <c r="J49" s="501"/>
      <c r="K49" s="501"/>
      <c r="L49" s="501"/>
    </row>
    <row r="50" spans="1:12" ht="12" thickBot="1">
      <c r="A50" s="535"/>
      <c r="B50" s="550" t="s">
        <v>679</v>
      </c>
      <c r="C50" s="498">
        <f>C9*C5</f>
        <v>0</v>
      </c>
      <c r="D50" s="499"/>
      <c r="E50" s="500">
        <f t="shared" si="2"/>
        <v>0</v>
      </c>
      <c r="F50" s="535"/>
      <c r="G50" s="501"/>
      <c r="H50" s="501"/>
      <c r="I50" s="501"/>
      <c r="J50" s="501"/>
      <c r="K50" s="501"/>
      <c r="L50" s="501"/>
    </row>
    <row r="51" spans="1:12" ht="13.5" thickBot="1">
      <c r="A51" s="535"/>
      <c r="B51" s="535"/>
      <c r="C51" s="535"/>
      <c r="D51" s="551" t="s">
        <v>9</v>
      </c>
      <c r="E51" s="623">
        <f>SUMIF(E21:E50,"&gt;0",E21:E50)</f>
        <v>0</v>
      </c>
      <c r="F51" s="535"/>
      <c r="G51" s="501"/>
      <c r="H51" s="501"/>
      <c r="I51" s="501"/>
      <c r="J51" s="501"/>
      <c r="K51" s="501"/>
      <c r="L51" s="501"/>
    </row>
    <row r="52" spans="1:12">
      <c r="A52" s="535"/>
      <c r="B52" s="535"/>
      <c r="C52" s="535"/>
      <c r="D52" s="535"/>
      <c r="E52" s="535"/>
      <c r="F52" s="535"/>
      <c r="G52" s="501"/>
      <c r="H52" s="501"/>
      <c r="I52" s="501"/>
      <c r="J52" s="501"/>
      <c r="K52" s="501"/>
      <c r="L52" s="501"/>
    </row>
    <row r="53" spans="1:12">
      <c r="A53" s="411"/>
      <c r="B53" s="411"/>
      <c r="C53" s="411"/>
      <c r="D53" s="411"/>
      <c r="E53" s="411"/>
      <c r="F53" s="411"/>
    </row>
    <row r="54" spans="1:12" ht="11.25" customHeight="1">
      <c r="A54" s="411"/>
      <c r="B54" s="411"/>
      <c r="C54" s="411"/>
      <c r="D54" s="411"/>
      <c r="E54" s="411"/>
      <c r="F54" s="411"/>
    </row>
    <row r="55" spans="1:12">
      <c r="A55" s="411"/>
      <c r="B55" s="411"/>
      <c r="C55" s="411"/>
      <c r="D55" s="411"/>
      <c r="E55" s="411"/>
      <c r="F55" s="411"/>
    </row>
    <row r="56" spans="1:12">
      <c r="A56" s="411"/>
      <c r="B56" s="411"/>
      <c r="C56" s="411"/>
      <c r="D56" s="411"/>
      <c r="E56" s="411"/>
      <c r="F56" s="411"/>
    </row>
    <row r="57" spans="1:12">
      <c r="A57" s="411"/>
      <c r="B57" s="411"/>
      <c r="C57" s="411"/>
      <c r="D57" s="411"/>
      <c r="E57" s="411"/>
      <c r="F57" s="411"/>
    </row>
    <row r="59" spans="1:12" ht="11.25" customHeight="1"/>
  </sheetData>
  <sheetProtection algorithmName="SHA-512" hashValue="I6FZJJiZ1kNm3bYOTiaKAaOoJWP5xj6rdiEtYFigXRvc32KZeDcchmNkj5r6BnaBdHrNCLMcIBNyVJgUYKQeYA==" saltValue="eehfCuKoxXMaYyHvA+husQ==" spinCount="100000" sheet="1"/>
  <mergeCells count="8">
    <mergeCell ref="D16:F16"/>
    <mergeCell ref="B1:E1"/>
    <mergeCell ref="D2:F3"/>
    <mergeCell ref="F6:F9"/>
    <mergeCell ref="D4:F5"/>
    <mergeCell ref="F13:F14"/>
    <mergeCell ref="F11:F12"/>
    <mergeCell ref="D15:F15"/>
  </mergeCells>
  <conditionalFormatting sqref="J3:J17">
    <cfRule type="cellIs" dxfId="393" priority="3" operator="greaterThan">
      <formula>0</formula>
    </cfRule>
    <cfRule type="cellIs" dxfId="392" priority="8" operator="greaterThan">
      <formula>0</formula>
    </cfRule>
  </conditionalFormatting>
  <conditionalFormatting sqref="H10:H12">
    <cfRule type="iconSet" priority="32">
      <iconSet iconSet="3Symbols">
        <cfvo type="percent" val="0"/>
        <cfvo type="percent" val="33"/>
        <cfvo type="percent" val="67"/>
      </iconSet>
    </cfRule>
    <cfRule type="expression" priority="33">
      <formula>"H71=1"</formula>
    </cfRule>
  </conditionalFormatting>
  <conditionalFormatting sqref="H10">
    <cfRule type="iconSet" priority="31">
      <iconSet iconSet="3Symbols">
        <cfvo type="percent" val="0"/>
        <cfvo type="percent" val="33"/>
        <cfvo type="percent" val="67"/>
      </iconSet>
    </cfRule>
  </conditionalFormatting>
  <conditionalFormatting sqref="I3:I4 I6:I8 I10:I17">
    <cfRule type="cellIs" dxfId="391" priority="28" operator="equal">
      <formula>"ДА"</formula>
    </cfRule>
    <cfRule type="cellIs" dxfId="390" priority="29" operator="equal">
      <formula>"НЕТ"</formula>
    </cfRule>
  </conditionalFormatting>
  <conditionalFormatting sqref="I3:I4 I6:I8">
    <cfRule type="colorScale" priority="30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389" priority="25" operator="equal">
      <formula>"ДА"</formula>
    </cfRule>
    <cfRule type="cellIs" dxfId="388" priority="26" operator="equal">
      <formula>"НЕТ"</formula>
    </cfRule>
  </conditionalFormatting>
  <conditionalFormatting sqref="I5">
    <cfRule type="cellIs" dxfId="387" priority="22" operator="equal">
      <formula>"ДА"</formula>
    </cfRule>
    <cfRule type="cellIs" dxfId="386" priority="23" operator="equal">
      <formula>"НЕТ"</formula>
    </cfRule>
  </conditionalFormatting>
  <conditionalFormatting sqref="I9">
    <cfRule type="colorScale" priority="27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385" priority="18" operator="equal">
      <formula>"ДА"</formula>
    </cfRule>
    <cfRule type="cellIs" dxfId="384" priority="19" operator="equal">
      <formula>"НЕТ"</formula>
    </cfRule>
  </conditionalFormatting>
  <conditionalFormatting sqref="I5">
    <cfRule type="colorScale" priority="24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20">
      <iconSet iconSet="3Symbols">
        <cfvo type="percent" val="0"/>
        <cfvo type="percent" val="33"/>
        <cfvo type="percent" val="67"/>
      </iconSet>
    </cfRule>
    <cfRule type="expression" priority="21">
      <formula>"H71=1"</formula>
    </cfRule>
  </conditionalFormatting>
  <conditionalFormatting sqref="I14">
    <cfRule type="cellIs" dxfId="383" priority="14" operator="equal">
      <formula>"ДА"</formula>
    </cfRule>
    <cfRule type="cellIs" dxfId="382" priority="15" operator="equal">
      <formula>"НЕТ"</formula>
    </cfRule>
  </conditionalFormatting>
  <conditionalFormatting sqref="H14">
    <cfRule type="iconSet" priority="16">
      <iconSet iconSet="3Symbols">
        <cfvo type="percent" val="0"/>
        <cfvo type="percent" val="33"/>
        <cfvo type="percent" val="67"/>
      </iconSet>
    </cfRule>
    <cfRule type="expression" priority="17">
      <formula>"H71=1"</formula>
    </cfRule>
  </conditionalFormatting>
  <conditionalFormatting sqref="K3:K17">
    <cfRule type="cellIs" dxfId="381" priority="9" operator="greaterThan">
      <formula>0</formula>
    </cfRule>
  </conditionalFormatting>
  <conditionalFormatting sqref="C2:C14">
    <cfRule type="cellIs" dxfId="380" priority="7" operator="greaterThan">
      <formula>0</formula>
    </cfRule>
  </conditionalFormatting>
  <conditionalFormatting sqref="C28:E47 C50:E50">
    <cfRule type="cellIs" dxfId="379" priority="6" operator="greaterThan">
      <formula>0</formula>
    </cfRule>
  </conditionalFormatting>
  <conditionalFormatting sqref="E51">
    <cfRule type="cellIs" dxfId="378" priority="4" operator="greaterThan">
      <formula>0</formula>
    </cfRule>
    <cfRule type="cellIs" dxfId="377" priority="5" operator="greaterThan">
      <formula>0</formula>
    </cfRule>
  </conditionalFormatting>
  <conditionalFormatting sqref="C15:C16">
    <cfRule type="cellIs" dxfId="376" priority="2" operator="greaterThan">
      <formula>0</formula>
    </cfRule>
  </conditionalFormatting>
  <conditionalFormatting sqref="C48:E49">
    <cfRule type="cellIs" dxfId="37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L90"/>
  <sheetViews>
    <sheetView showGridLines="0" showRowColHeaders="0" workbookViewId="0">
      <pane ySplit="25" topLeftCell="A68" activePane="bottomLeft" state="frozen"/>
      <selection pane="bottomLeft" activeCell="H32" sqref="H32"/>
    </sheetView>
  </sheetViews>
  <sheetFormatPr defaultRowHeight="11.25"/>
  <cols>
    <col min="2" max="2" width="52.33203125" customWidth="1"/>
    <col min="3" max="3" width="15.83203125" customWidth="1"/>
    <col min="4" max="4" width="11.33203125" customWidth="1"/>
    <col min="5" max="5" width="12" customWidth="1"/>
    <col min="6" max="6" width="28.1640625" customWidth="1"/>
    <col min="7" max="7" width="4.33203125" customWidth="1"/>
    <col min="8" max="8" width="45.5" customWidth="1"/>
    <col min="9" max="9" width="4.6640625" customWidth="1"/>
  </cols>
  <sheetData>
    <row r="1" spans="1:12" ht="49.5" customHeight="1" thickBot="1">
      <c r="A1" s="501"/>
      <c r="B1" s="1045"/>
      <c r="C1" s="1046"/>
      <c r="D1" s="1046"/>
      <c r="E1" s="1046"/>
      <c r="F1" s="501"/>
      <c r="G1" s="501"/>
      <c r="H1" s="501"/>
      <c r="I1" s="501"/>
      <c r="J1" s="501"/>
      <c r="K1" s="501"/>
      <c r="L1" s="501"/>
    </row>
    <row r="2" spans="1:12" ht="12" customHeight="1" thickBot="1">
      <c r="A2" s="501"/>
      <c r="B2" s="503" t="s">
        <v>10</v>
      </c>
      <c r="C2" s="554">
        <v>4</v>
      </c>
      <c r="D2" s="1047" t="s">
        <v>675</v>
      </c>
      <c r="E2" s="1048"/>
      <c r="F2" s="1049"/>
      <c r="G2" s="501"/>
      <c r="H2" s="505" t="s">
        <v>565</v>
      </c>
      <c r="I2" s="718" t="s">
        <v>684</v>
      </c>
      <c r="J2" s="506" t="s">
        <v>4</v>
      </c>
      <c r="K2" s="507" t="s">
        <v>8</v>
      </c>
      <c r="L2" s="501"/>
    </row>
    <row r="3" spans="1:12" ht="12" customHeight="1" thickBot="1">
      <c r="A3" s="501"/>
      <c r="B3" s="508" t="s">
        <v>1</v>
      </c>
      <c r="C3" s="555">
        <v>2</v>
      </c>
      <c r="D3" s="1050"/>
      <c r="E3" s="1051"/>
      <c r="F3" s="1052"/>
      <c r="G3" s="501"/>
      <c r="H3" s="509" t="s">
        <v>569</v>
      </c>
      <c r="I3" s="719" t="str">
        <f>IF(AND($C$9+$C$10+$C$11=1,$C$12+$C$13+$C$14=0,C15=1),"ДА","НЕТ")</f>
        <v>ДА</v>
      </c>
      <c r="J3" s="413"/>
      <c r="K3" s="414">
        <f>IF(I3="ДА",($C$4+$C$5+$C$6+$C$7+$C$8+$C$9)*J3,0)</f>
        <v>0</v>
      </c>
      <c r="L3" s="501"/>
    </row>
    <row r="4" spans="1:12" ht="12" customHeight="1">
      <c r="A4" s="501"/>
      <c r="B4" s="503" t="s">
        <v>517</v>
      </c>
      <c r="C4" s="560">
        <v>0</v>
      </c>
      <c r="D4" s="1047" t="s">
        <v>677</v>
      </c>
      <c r="E4" s="1048"/>
      <c r="F4" s="1049"/>
      <c r="G4" s="501"/>
      <c r="H4" s="514" t="s">
        <v>566</v>
      </c>
      <c r="I4" s="720" t="str">
        <f>IF(AND($C$9+$C$10+$C$11=1,$C$12+$C$13+$C$14=0,C15=3),"ДА","НЕТ")</f>
        <v>НЕТ</v>
      </c>
      <c r="J4" s="417"/>
      <c r="K4" s="418">
        <f t="shared" ref="K4:K19" si="0">IF(I4="ДА",($C$4+$C$5+$C$6+$C$7+$C$8+$C$9)*J4,0)</f>
        <v>0</v>
      </c>
      <c r="L4" s="501"/>
    </row>
    <row r="5" spans="1:12" ht="12" customHeight="1">
      <c r="A5" s="501"/>
      <c r="B5" s="513" t="s">
        <v>518</v>
      </c>
      <c r="C5" s="557">
        <v>0</v>
      </c>
      <c r="D5" s="1067"/>
      <c r="E5" s="1053"/>
      <c r="F5" s="1054"/>
      <c r="G5" s="501"/>
      <c r="H5" s="514" t="s">
        <v>671</v>
      </c>
      <c r="I5" s="720" t="str">
        <f>IF(AND($C$9+$C$10+$C$11=1,$C$12+$C$13+$C$14=0,C15=3),"ДА","НЕТ")</f>
        <v>НЕТ</v>
      </c>
      <c r="J5" s="417"/>
      <c r="K5" s="418">
        <f t="shared" si="0"/>
        <v>0</v>
      </c>
      <c r="L5" s="501"/>
    </row>
    <row r="6" spans="1:12" ht="12" customHeight="1" thickBot="1">
      <c r="A6" s="501"/>
      <c r="B6" s="536" t="s">
        <v>709</v>
      </c>
      <c r="C6" s="562">
        <v>1</v>
      </c>
      <c r="D6" s="1067"/>
      <c r="E6" s="1053"/>
      <c r="F6" s="1054"/>
      <c r="G6" s="501"/>
      <c r="H6" s="514" t="s">
        <v>567</v>
      </c>
      <c r="I6" s="720" t="str">
        <f>IF(AND($C$9+$C$10+$C$11=1,$C$12+$C$13+$C$14=0,C15=2),"ДА","НЕТ")</f>
        <v>НЕТ</v>
      </c>
      <c r="J6" s="417"/>
      <c r="K6" s="418">
        <f t="shared" si="0"/>
        <v>0</v>
      </c>
      <c r="L6" s="501"/>
    </row>
    <row r="7" spans="1:12" ht="12" customHeight="1" thickBot="1">
      <c r="A7" s="501"/>
      <c r="B7" s="525" t="s">
        <v>491</v>
      </c>
      <c r="C7" s="561">
        <v>0</v>
      </c>
      <c r="D7" s="529" t="s">
        <v>365</v>
      </c>
      <c r="E7" s="530" t="s">
        <v>327</v>
      </c>
      <c r="F7" s="659" t="s">
        <v>749</v>
      </c>
      <c r="G7" s="585"/>
      <c r="H7" s="514" t="s">
        <v>568</v>
      </c>
      <c r="I7" s="720" t="str">
        <f>IF(AND($C$9+$C$10+$C$11=1,$C$12+$C$13+$C$14=0,C15=2),"ДА","НЕТ")</f>
        <v>НЕТ</v>
      </c>
      <c r="J7" s="417"/>
      <c r="K7" s="418">
        <f t="shared" si="0"/>
        <v>0</v>
      </c>
      <c r="L7" s="501"/>
    </row>
    <row r="8" spans="1:12" ht="12" customHeight="1" thickBot="1">
      <c r="A8" s="501"/>
      <c r="B8" s="525" t="s">
        <v>561</v>
      </c>
      <c r="C8" s="561">
        <v>0</v>
      </c>
      <c r="D8" s="529" t="s">
        <v>365</v>
      </c>
      <c r="E8" s="530" t="s">
        <v>327</v>
      </c>
      <c r="F8" s="658"/>
      <c r="G8" s="619"/>
      <c r="H8" s="514" t="s">
        <v>574</v>
      </c>
      <c r="I8" s="720" t="str">
        <f>IF(AND($C$9+$C$10+$C$11=1,$C$12+$C$13+$C$14=0,C15=2),"ДА","НЕТ")</f>
        <v>НЕТ</v>
      </c>
      <c r="J8" s="417"/>
      <c r="K8" s="418">
        <f t="shared" si="0"/>
        <v>0</v>
      </c>
      <c r="L8" s="501"/>
    </row>
    <row r="9" spans="1:12" ht="12" customHeight="1">
      <c r="A9" s="501"/>
      <c r="B9" s="503" t="s">
        <v>578</v>
      </c>
      <c r="C9" s="560">
        <v>0</v>
      </c>
      <c r="D9" s="516" t="s">
        <v>365</v>
      </c>
      <c r="E9" s="517" t="s">
        <v>327</v>
      </c>
      <c r="F9" s="1055" t="s">
        <v>677</v>
      </c>
      <c r="G9" s="585"/>
      <c r="H9" s="509" t="s">
        <v>670</v>
      </c>
      <c r="I9" s="720" t="str">
        <f>IF(AND($C$9+$C$10+$C$11=1,$C$12+$C$13+$C$14=0,C15=1),"ДА","НЕТ")</f>
        <v>ДА</v>
      </c>
      <c r="J9" s="413"/>
      <c r="K9" s="414">
        <f t="shared" si="0"/>
        <v>0</v>
      </c>
      <c r="L9" s="501"/>
    </row>
    <row r="10" spans="1:12" ht="12" customHeight="1">
      <c r="A10" s="501"/>
      <c r="B10" s="513" t="s">
        <v>579</v>
      </c>
      <c r="C10" s="557">
        <v>0</v>
      </c>
      <c r="D10" s="520" t="s">
        <v>365</v>
      </c>
      <c r="E10" s="520" t="s">
        <v>327</v>
      </c>
      <c r="F10" s="1056"/>
      <c r="G10" s="501"/>
      <c r="H10" s="509" t="s">
        <v>462</v>
      </c>
      <c r="I10" s="720" t="str">
        <f>IF(AND($C$9+$C$10+$C$11+C14=0,$C$12+$C$13=1,C15=1),"ДА","НЕТ")</f>
        <v>НЕТ</v>
      </c>
      <c r="J10" s="420"/>
      <c r="K10" s="421">
        <f t="shared" si="0"/>
        <v>0</v>
      </c>
      <c r="L10" s="501"/>
    </row>
    <row r="11" spans="1:12" ht="12" customHeight="1">
      <c r="A11" s="501"/>
      <c r="B11" s="513" t="s">
        <v>667</v>
      </c>
      <c r="C11" s="557">
        <v>1</v>
      </c>
      <c r="D11" s="520" t="s">
        <v>365</v>
      </c>
      <c r="E11" s="520" t="s">
        <v>327</v>
      </c>
      <c r="F11" s="1056"/>
      <c r="G11" s="501"/>
      <c r="H11" s="512" t="s">
        <v>463</v>
      </c>
      <c r="I11" s="720" t="str">
        <f>IF(AND($C$9+$C$10+$C$11+C14=0,$C$12+$C$13=1,C15=1),"ДА","НЕТ")</f>
        <v>НЕТ</v>
      </c>
      <c r="J11" s="420"/>
      <c r="K11" s="421">
        <f t="shared" si="0"/>
        <v>0</v>
      </c>
      <c r="L11" s="501"/>
    </row>
    <row r="12" spans="1:12" ht="12" customHeight="1">
      <c r="A12" s="501"/>
      <c r="B12" s="515" t="s">
        <v>580</v>
      </c>
      <c r="C12" s="558">
        <v>0</v>
      </c>
      <c r="D12" s="518" t="s">
        <v>365</v>
      </c>
      <c r="E12" s="519" t="s">
        <v>327</v>
      </c>
      <c r="F12" s="1056"/>
      <c r="G12" s="501"/>
      <c r="H12" s="512" t="s">
        <v>464</v>
      </c>
      <c r="I12" s="720" t="str">
        <f>IF(AND($C$9+$C$10+$C$11+C14=0,$C$12+$C$13=1,C15=1),"ДА","НЕТ")</f>
        <v>НЕТ</v>
      </c>
      <c r="J12" s="423"/>
      <c r="K12" s="421">
        <f t="shared" si="0"/>
        <v>0</v>
      </c>
      <c r="L12" s="501"/>
    </row>
    <row r="13" spans="1:12" ht="12" customHeight="1">
      <c r="A13" s="501"/>
      <c r="B13" s="513" t="s">
        <v>581</v>
      </c>
      <c r="C13" s="557">
        <v>0</v>
      </c>
      <c r="D13" s="520" t="s">
        <v>365</v>
      </c>
      <c r="E13" s="521" t="s">
        <v>327</v>
      </c>
      <c r="F13" s="1056"/>
      <c r="G13" s="501"/>
      <c r="H13" s="512" t="s">
        <v>672</v>
      </c>
      <c r="I13" s="720" t="str">
        <f>IF(AND($C$10+$C$11+$C$12+$C$13+$C$9=0,$C$14=1,C15=1),"ДА","НЕТ")</f>
        <v>НЕТ</v>
      </c>
      <c r="J13" s="423"/>
      <c r="K13" s="421">
        <f t="shared" si="0"/>
        <v>0</v>
      </c>
      <c r="L13" s="501"/>
    </row>
    <row r="14" spans="1:12" ht="12" customHeight="1" thickBot="1">
      <c r="A14" s="501"/>
      <c r="B14" s="536" t="s">
        <v>668</v>
      </c>
      <c r="C14" s="562">
        <v>0</v>
      </c>
      <c r="D14" s="520" t="s">
        <v>365</v>
      </c>
      <c r="E14" s="521" t="s">
        <v>327</v>
      </c>
      <c r="F14" s="1057"/>
      <c r="G14" s="501"/>
      <c r="H14" s="512" t="s">
        <v>672</v>
      </c>
      <c r="I14" s="720" t="str">
        <f>IF(AND($C$10+$C$11+$C$12+$C$13+$C$9=0,$C$14=1,C15=1),"ДА","НЕТ")</f>
        <v>НЕТ</v>
      </c>
      <c r="J14" s="423"/>
      <c r="K14" s="421">
        <f t="shared" si="0"/>
        <v>0</v>
      </c>
      <c r="L14" s="501"/>
    </row>
    <row r="15" spans="1:12" ht="12" customHeight="1" thickBot="1">
      <c r="A15" s="501"/>
      <c r="B15" s="525" t="s">
        <v>669</v>
      </c>
      <c r="C15" s="644">
        <v>1</v>
      </c>
      <c r="D15" s="529" t="s">
        <v>699</v>
      </c>
      <c r="E15" s="530" t="s">
        <v>700</v>
      </c>
      <c r="F15" s="532" t="s">
        <v>701</v>
      </c>
      <c r="G15" s="501"/>
      <c r="H15" s="509" t="s">
        <v>467</v>
      </c>
      <c r="I15" s="720" t="str">
        <f>IF(AND($C$9+$C$10+$C$11+C14=0,$C$12+$C$13=1,C15=2),"ДА","НЕТ")</f>
        <v>НЕТ</v>
      </c>
      <c r="J15" s="420"/>
      <c r="K15" s="421">
        <f t="shared" si="0"/>
        <v>0</v>
      </c>
      <c r="L15" s="501"/>
    </row>
    <row r="16" spans="1:12" ht="12" customHeight="1" thickBot="1">
      <c r="A16" s="501"/>
      <c r="B16" s="536" t="s">
        <v>611</v>
      </c>
      <c r="C16" s="562">
        <v>0</v>
      </c>
      <c r="D16" s="520" t="s">
        <v>365</v>
      </c>
      <c r="E16" s="521" t="s">
        <v>327</v>
      </c>
      <c r="F16" s="659" t="s">
        <v>749</v>
      </c>
      <c r="G16" s="501"/>
      <c r="H16" s="512" t="s">
        <v>468</v>
      </c>
      <c r="I16" s="720" t="str">
        <f>IF(AND($C$9+$C$10+$C$11+C14=0,$C$12+$C$13=1,C15=2),"ДА","НЕТ")</f>
        <v>НЕТ</v>
      </c>
      <c r="J16" s="420"/>
      <c r="K16" s="421">
        <f t="shared" si="0"/>
        <v>0</v>
      </c>
      <c r="L16" s="501"/>
    </row>
    <row r="17" spans="1:12" ht="12" customHeight="1">
      <c r="A17" s="501"/>
      <c r="B17" s="503" t="s">
        <v>439</v>
      </c>
      <c r="C17" s="560">
        <v>0</v>
      </c>
      <c r="D17" s="516" t="s">
        <v>365</v>
      </c>
      <c r="E17" s="517" t="s">
        <v>327</v>
      </c>
      <c r="F17" s="1055" t="s">
        <v>677</v>
      </c>
      <c r="G17" s="501"/>
      <c r="H17" s="512" t="s">
        <v>469</v>
      </c>
      <c r="I17" s="720" t="str">
        <f>IF(AND($C$9+$C$10+$C$11+C14=0,$C$12+$C$13=1,C15=2),"ДА","НЕТ")</f>
        <v>НЕТ</v>
      </c>
      <c r="J17" s="420"/>
      <c r="K17" s="418">
        <f t="shared" si="0"/>
        <v>0</v>
      </c>
      <c r="L17" s="501"/>
    </row>
    <row r="18" spans="1:12" ht="12" customHeight="1">
      <c r="A18" s="501"/>
      <c r="B18" s="515" t="s">
        <v>545</v>
      </c>
      <c r="C18" s="558">
        <v>0</v>
      </c>
      <c r="D18" s="520" t="s">
        <v>365</v>
      </c>
      <c r="E18" s="521" t="s">
        <v>327</v>
      </c>
      <c r="F18" s="1056"/>
      <c r="G18" s="501"/>
      <c r="H18" s="509" t="s">
        <v>673</v>
      </c>
      <c r="I18" s="719" t="str">
        <f>IF(AND($C$10+$C$11+$C$12+$C$13+$C$9=0,$C$14=1,C15=2),"ДА","НЕТ")</f>
        <v>НЕТ</v>
      </c>
      <c r="J18" s="424"/>
      <c r="K18" s="425">
        <f t="shared" si="0"/>
        <v>0</v>
      </c>
      <c r="L18" s="501"/>
    </row>
    <row r="19" spans="1:12" ht="12" customHeight="1" thickBot="1">
      <c r="A19" s="501"/>
      <c r="B19" s="513" t="s">
        <v>440</v>
      </c>
      <c r="C19" s="557">
        <v>0</v>
      </c>
      <c r="D19" s="520" t="s">
        <v>365</v>
      </c>
      <c r="E19" s="521" t="s">
        <v>327</v>
      </c>
      <c r="F19" s="1056"/>
      <c r="G19" s="501"/>
      <c r="H19" s="533" t="s">
        <v>674</v>
      </c>
      <c r="I19" s="730" t="str">
        <f>IF(AND($C$10+$C$11+$C$12+$C$13+$C$9=0,$C$14=1,C15=2),"ДА","НЕТ")</f>
        <v>НЕТ</v>
      </c>
      <c r="J19" s="427"/>
      <c r="K19" s="428">
        <f t="shared" si="0"/>
        <v>0</v>
      </c>
      <c r="L19" s="501"/>
    </row>
    <row r="20" spans="1:12" ht="12" customHeight="1" thickBot="1">
      <c r="A20" s="501"/>
      <c r="B20" s="508" t="s">
        <v>546</v>
      </c>
      <c r="C20" s="559">
        <v>1</v>
      </c>
      <c r="D20" s="523" t="s">
        <v>365</v>
      </c>
      <c r="E20" s="524" t="s">
        <v>327</v>
      </c>
      <c r="F20" s="1057"/>
      <c r="G20" s="501"/>
      <c r="H20" s="501"/>
      <c r="I20" s="501"/>
      <c r="J20" s="501"/>
      <c r="K20" s="501"/>
      <c r="L20" s="501"/>
    </row>
    <row r="21" spans="1:12" ht="12" customHeight="1" thickBot="1">
      <c r="A21" s="501"/>
      <c r="B21" s="536" t="s">
        <v>612</v>
      </c>
      <c r="C21" s="562">
        <v>0</v>
      </c>
      <c r="D21" s="523" t="s">
        <v>365</v>
      </c>
      <c r="E21" s="524" t="s">
        <v>327</v>
      </c>
      <c r="F21" s="653"/>
      <c r="G21" s="501"/>
      <c r="H21" s="501"/>
      <c r="I21" s="501"/>
      <c r="J21" s="501"/>
      <c r="K21" s="501"/>
      <c r="L21" s="501"/>
    </row>
    <row r="22" spans="1:12" ht="12" customHeight="1">
      <c r="A22" s="501"/>
      <c r="B22" s="826" t="s">
        <v>205</v>
      </c>
      <c r="C22" s="560">
        <v>1</v>
      </c>
      <c r="D22" s="1059" t="s">
        <v>766</v>
      </c>
      <c r="E22" s="1059"/>
      <c r="F22" s="1060"/>
      <c r="G22" s="501"/>
      <c r="H22" s="501"/>
      <c r="I22" s="501"/>
      <c r="J22" s="501"/>
      <c r="K22" s="501"/>
      <c r="L22" s="501"/>
    </row>
    <row r="23" spans="1:12" ht="12" customHeight="1" thickBot="1">
      <c r="A23" s="501"/>
      <c r="B23" s="827" t="s">
        <v>204</v>
      </c>
      <c r="C23" s="559">
        <v>0</v>
      </c>
      <c r="D23" s="1065" t="s">
        <v>767</v>
      </c>
      <c r="E23" s="1065"/>
      <c r="F23" s="1066"/>
      <c r="G23" s="501"/>
      <c r="H23" s="501"/>
      <c r="I23" s="501"/>
      <c r="J23" s="501"/>
      <c r="K23" s="501"/>
      <c r="L23" s="501"/>
    </row>
    <row r="24" spans="1:12" ht="12" customHeight="1" thickBot="1">
      <c r="A24" s="501"/>
      <c r="B24" s="535"/>
      <c r="C24" s="535"/>
      <c r="D24" s="535"/>
      <c r="E24" s="535"/>
      <c r="F24" s="535"/>
      <c r="G24" s="501"/>
      <c r="H24" s="501"/>
      <c r="I24" s="501"/>
      <c r="J24" s="501"/>
      <c r="K24" s="501"/>
      <c r="L24" s="501"/>
    </row>
    <row r="25" spans="1:12" ht="12" customHeight="1">
      <c r="A25" s="501"/>
      <c r="B25" s="540" t="s">
        <v>5</v>
      </c>
      <c r="C25" s="541" t="s">
        <v>0</v>
      </c>
      <c r="D25" s="727" t="s">
        <v>4</v>
      </c>
      <c r="E25" s="543" t="s">
        <v>8</v>
      </c>
      <c r="F25" s="535"/>
      <c r="G25" s="501"/>
      <c r="H25" s="501"/>
      <c r="I25" s="501"/>
      <c r="J25" s="501"/>
      <c r="K25" s="501"/>
      <c r="L25" s="501"/>
    </row>
    <row r="26" spans="1:12" ht="12" customHeight="1">
      <c r="A26" s="501"/>
      <c r="B26" s="545" t="s">
        <v>643</v>
      </c>
      <c r="C26" s="437">
        <f>IF(AND(C16=0,C7=0),C20*(C4+C5+C6),0)</f>
        <v>1</v>
      </c>
      <c r="D26" s="647"/>
      <c r="E26" s="648">
        <f t="shared" ref="E26:E37" si="1">D26*C26</f>
        <v>0</v>
      </c>
      <c r="F26" s="535"/>
      <c r="G26" s="501"/>
      <c r="H26" s="501"/>
      <c r="I26" s="501"/>
      <c r="J26" s="501"/>
      <c r="K26" s="501"/>
      <c r="L26" s="501"/>
    </row>
    <row r="27" spans="1:12" ht="12" customHeight="1">
      <c r="A27" s="501"/>
      <c r="B27" s="545" t="s">
        <v>644</v>
      </c>
      <c r="C27" s="437">
        <f>(C4+C5+C6)*C18</f>
        <v>0</v>
      </c>
      <c r="D27" s="647"/>
      <c r="E27" s="648">
        <f>C27*D27</f>
        <v>0</v>
      </c>
      <c r="F27" s="535"/>
      <c r="G27" s="501"/>
      <c r="H27" s="501"/>
      <c r="I27" s="501"/>
      <c r="J27" s="501"/>
      <c r="K27" s="501"/>
      <c r="L27" s="501"/>
    </row>
    <row r="28" spans="1:12" ht="12" customHeight="1">
      <c r="A28" s="501"/>
      <c r="B28" s="545" t="s">
        <v>733</v>
      </c>
      <c r="C28" s="437">
        <f>IF(AND(C16=1,C7=0),C16*(C4+C5+C6),0)</f>
        <v>0</v>
      </c>
      <c r="D28" s="647"/>
      <c r="E28" s="648">
        <f>D28*C28</f>
        <v>0</v>
      </c>
      <c r="F28" s="535"/>
      <c r="G28" s="501"/>
      <c r="H28" s="501"/>
      <c r="I28" s="501"/>
      <c r="J28" s="501"/>
      <c r="K28" s="501"/>
      <c r="L28" s="501"/>
    </row>
    <row r="29" spans="1:12" ht="12" customHeight="1">
      <c r="A29" s="501"/>
      <c r="B29" s="545" t="s">
        <v>734</v>
      </c>
      <c r="C29" s="437">
        <f>IF(AND(C7=1,C16=0),C20*(C4+C5+C6)*C7,0)</f>
        <v>0</v>
      </c>
      <c r="D29" s="647"/>
      <c r="E29" s="648">
        <f t="shared" si="1"/>
        <v>0</v>
      </c>
      <c r="F29" s="535"/>
      <c r="G29" s="501"/>
      <c r="H29" s="501"/>
      <c r="I29" s="501"/>
      <c r="J29" s="501"/>
      <c r="K29" s="501"/>
      <c r="L29" s="501"/>
    </row>
    <row r="30" spans="1:12" ht="12" customHeight="1">
      <c r="A30" s="501"/>
      <c r="B30" s="545" t="s">
        <v>122</v>
      </c>
      <c r="C30" s="437">
        <f>(C17+C19)*2*(C4+C5+C6)</f>
        <v>0</v>
      </c>
      <c r="D30" s="647"/>
      <c r="E30" s="648">
        <f t="shared" si="1"/>
        <v>0</v>
      </c>
      <c r="F30" s="535"/>
      <c r="G30" s="501"/>
      <c r="H30" s="501"/>
      <c r="I30" s="501"/>
      <c r="J30" s="501"/>
      <c r="K30" s="501"/>
      <c r="L30" s="501"/>
    </row>
    <row r="31" spans="1:12" ht="12" customHeight="1">
      <c r="A31" s="501"/>
      <c r="B31" s="547" t="s">
        <v>735</v>
      </c>
      <c r="C31" s="442">
        <f>EVEN(ROUNDDOWN(IF(C4+C5+C6&gt;0.9,(C4+C5+C6)*(C2/0.5)+1,0),0))</f>
        <v>10</v>
      </c>
      <c r="D31" s="647"/>
      <c r="E31" s="648">
        <f t="shared" si="1"/>
        <v>0</v>
      </c>
      <c r="F31" s="535"/>
      <c r="G31" s="501"/>
      <c r="H31" s="501"/>
      <c r="I31" s="501"/>
      <c r="J31" s="501"/>
      <c r="K31" s="501"/>
      <c r="L31" s="501"/>
    </row>
    <row r="32" spans="1:12" ht="12" customHeight="1">
      <c r="A32" s="501"/>
      <c r="B32" s="547" t="s">
        <v>499</v>
      </c>
      <c r="C32" s="442">
        <f>IF(AND(C9+C10+C11&gt;0,C12+C13+C14=0),(C4+C5+C6)*2,0)</f>
        <v>2</v>
      </c>
      <c r="D32" s="647"/>
      <c r="E32" s="648">
        <f t="shared" si="1"/>
        <v>0</v>
      </c>
      <c r="F32" s="535"/>
      <c r="G32" s="501"/>
      <c r="H32" s="501"/>
      <c r="I32" s="501"/>
      <c r="J32" s="501"/>
      <c r="K32" s="501"/>
      <c r="L32" s="501"/>
    </row>
    <row r="33" spans="1:12" ht="12" customHeight="1">
      <c r="A33" s="501"/>
      <c r="B33" s="547" t="s">
        <v>499</v>
      </c>
      <c r="C33" s="442">
        <f>IF(AND(C9+C10+C11=0,C12+C13+C14&gt;0),(C4+C5+C6),0)</f>
        <v>0</v>
      </c>
      <c r="D33" s="647"/>
      <c r="E33" s="648">
        <f>D33*C33</f>
        <v>0</v>
      </c>
      <c r="F33" s="535"/>
      <c r="G33" s="501"/>
      <c r="H33" s="501"/>
      <c r="I33" s="501"/>
      <c r="J33" s="501"/>
      <c r="K33" s="501"/>
      <c r="L33" s="501"/>
    </row>
    <row r="34" spans="1:12" ht="12" customHeight="1">
      <c r="A34" s="501"/>
      <c r="B34" s="547" t="s">
        <v>591</v>
      </c>
      <c r="C34" s="442">
        <f>IF(AND(C9+C10+C11=0,C12+C13+C14&gt;0),(C4+C5),0)</f>
        <v>0</v>
      </c>
      <c r="D34" s="647"/>
      <c r="E34" s="648">
        <f t="shared" si="1"/>
        <v>0</v>
      </c>
      <c r="F34" s="535"/>
      <c r="G34" s="501"/>
      <c r="H34" s="501"/>
      <c r="I34" s="501"/>
      <c r="J34" s="501"/>
      <c r="K34" s="501"/>
      <c r="L34" s="501"/>
    </row>
    <row r="35" spans="1:12" ht="12" customHeight="1">
      <c r="A35" s="501"/>
      <c r="B35" s="545" t="s">
        <v>736</v>
      </c>
      <c r="C35" s="437">
        <f>C4+C5+C6</f>
        <v>1</v>
      </c>
      <c r="D35" s="647"/>
      <c r="E35" s="648">
        <f t="shared" si="1"/>
        <v>0</v>
      </c>
      <c r="F35" s="535"/>
      <c r="G35" s="501"/>
      <c r="H35" s="501"/>
      <c r="I35" s="501"/>
      <c r="J35" s="501"/>
      <c r="K35" s="501"/>
      <c r="L35" s="501"/>
    </row>
    <row r="36" spans="1:12" ht="12" customHeight="1">
      <c r="A36" s="501"/>
      <c r="B36" s="545" t="s">
        <v>737</v>
      </c>
      <c r="C36" s="445">
        <f>C4+C5+C6</f>
        <v>1</v>
      </c>
      <c r="D36" s="647"/>
      <c r="E36" s="648">
        <f t="shared" si="1"/>
        <v>0</v>
      </c>
      <c r="F36" s="535"/>
      <c r="G36" s="501"/>
      <c r="H36" s="501"/>
      <c r="I36" s="501"/>
      <c r="J36" s="501"/>
      <c r="K36" s="501"/>
      <c r="L36" s="501"/>
    </row>
    <row r="37" spans="1:12" ht="12" customHeight="1">
      <c r="A37" s="501"/>
      <c r="B37" s="545" t="s">
        <v>738</v>
      </c>
      <c r="C37" s="437">
        <f>(C4+C5+C6)*2</f>
        <v>2</v>
      </c>
      <c r="D37" s="647"/>
      <c r="E37" s="648">
        <f t="shared" si="1"/>
        <v>0</v>
      </c>
      <c r="F37" s="535"/>
      <c r="G37" s="501"/>
      <c r="H37" s="501"/>
      <c r="I37" s="501"/>
      <c r="J37" s="501"/>
      <c r="K37" s="501"/>
      <c r="L37" s="501"/>
    </row>
    <row r="38" spans="1:12" ht="12" customHeight="1">
      <c r="A38" s="501"/>
      <c r="B38" s="547" t="s">
        <v>726</v>
      </c>
      <c r="C38" s="437">
        <f>C21*(C4+C5+C6)</f>
        <v>0</v>
      </c>
      <c r="D38" s="647"/>
      <c r="E38" s="648">
        <f>D38*C38</f>
        <v>0</v>
      </c>
      <c r="F38" s="535"/>
      <c r="G38" s="501"/>
      <c r="H38" s="501"/>
      <c r="I38" s="501"/>
      <c r="J38" s="501"/>
      <c r="K38" s="501"/>
      <c r="L38" s="501"/>
    </row>
    <row r="39" spans="1:12" ht="12" customHeight="1">
      <c r="A39" s="501"/>
      <c r="B39" s="547" t="s">
        <v>524</v>
      </c>
      <c r="C39" s="437">
        <f>C4</f>
        <v>0</v>
      </c>
      <c r="D39" s="647"/>
      <c r="E39" s="648">
        <f>C39*D39</f>
        <v>0</v>
      </c>
      <c r="F39" s="535"/>
      <c r="G39" s="501"/>
      <c r="H39" s="501"/>
      <c r="I39" s="501"/>
      <c r="J39" s="501"/>
      <c r="K39" s="501"/>
      <c r="L39" s="501"/>
    </row>
    <row r="40" spans="1:12" ht="12" customHeight="1">
      <c r="A40" s="501"/>
      <c r="B40" s="547" t="s">
        <v>525</v>
      </c>
      <c r="C40" s="437">
        <f>C4*2</f>
        <v>0</v>
      </c>
      <c r="D40" s="647"/>
      <c r="E40" s="648">
        <f>C40*D40</f>
        <v>0</v>
      </c>
      <c r="F40" s="535"/>
      <c r="G40" s="501"/>
      <c r="H40" s="501"/>
      <c r="I40" s="501"/>
      <c r="J40" s="501"/>
      <c r="K40" s="501"/>
      <c r="L40" s="501"/>
    </row>
    <row r="41" spans="1:12" ht="12" customHeight="1">
      <c r="A41" s="501"/>
      <c r="B41" s="547" t="s">
        <v>732</v>
      </c>
      <c r="C41" s="437">
        <f>C6*2</f>
        <v>2</v>
      </c>
      <c r="D41" s="647"/>
      <c r="E41" s="648">
        <f>C41*D41</f>
        <v>0</v>
      </c>
      <c r="F41" s="535"/>
      <c r="G41" s="501"/>
      <c r="H41" s="501"/>
      <c r="I41" s="501"/>
      <c r="J41" s="501"/>
      <c r="K41" s="501"/>
      <c r="L41" s="501"/>
    </row>
    <row r="42" spans="1:12" ht="12" customHeight="1">
      <c r="A42" s="501"/>
      <c r="B42" s="547" t="s">
        <v>513</v>
      </c>
      <c r="C42" s="437">
        <f>C5+C6</f>
        <v>1</v>
      </c>
      <c r="D42" s="647"/>
      <c r="E42" s="648">
        <f>C42*D42</f>
        <v>0</v>
      </c>
      <c r="F42" s="535"/>
      <c r="G42" s="501"/>
      <c r="H42" s="501"/>
      <c r="I42" s="501"/>
      <c r="J42" s="501"/>
      <c r="K42" s="501"/>
      <c r="L42" s="501"/>
    </row>
    <row r="43" spans="1:12" ht="12" customHeight="1">
      <c r="A43" s="501"/>
      <c r="B43" s="545" t="s">
        <v>553</v>
      </c>
      <c r="C43" s="437">
        <f>(C4+C5+C6)*C2</f>
        <v>4</v>
      </c>
      <c r="D43" s="647"/>
      <c r="E43" s="648">
        <f>D43*C43</f>
        <v>0</v>
      </c>
      <c r="F43" s="535"/>
      <c r="G43" s="501"/>
      <c r="H43" s="501"/>
      <c r="I43" s="501"/>
      <c r="J43" s="501"/>
      <c r="K43" s="501"/>
      <c r="L43" s="501"/>
    </row>
    <row r="44" spans="1:12" ht="12" customHeight="1">
      <c r="A44" s="501"/>
      <c r="B44" s="545" t="s">
        <v>553</v>
      </c>
      <c r="C44" s="437">
        <f>C20*C2*(C4+C5+C6)</f>
        <v>4</v>
      </c>
      <c r="D44" s="647"/>
      <c r="E44" s="648">
        <f>D44*C44</f>
        <v>0</v>
      </c>
      <c r="F44" s="535"/>
      <c r="G44" s="501"/>
      <c r="H44" s="501"/>
      <c r="I44" s="501"/>
      <c r="J44" s="501"/>
      <c r="K44" s="501"/>
      <c r="L44" s="501"/>
    </row>
    <row r="45" spans="1:12" ht="12" customHeight="1">
      <c r="A45" s="501"/>
      <c r="B45" s="547" t="s">
        <v>441</v>
      </c>
      <c r="C45" s="442">
        <f>C19*2*C2*(C4+C5+C6)</f>
        <v>0</v>
      </c>
      <c r="D45" s="647"/>
      <c r="E45" s="648">
        <f>D45*C45</f>
        <v>0</v>
      </c>
      <c r="F45" s="535"/>
      <c r="G45" s="501"/>
      <c r="H45" s="501"/>
      <c r="I45" s="501"/>
      <c r="J45" s="501"/>
      <c r="K45" s="501"/>
      <c r="L45" s="501"/>
    </row>
    <row r="46" spans="1:12" ht="12" customHeight="1">
      <c r="A46" s="501"/>
      <c r="B46" s="547" t="s">
        <v>556</v>
      </c>
      <c r="C46" s="442">
        <f>(C17+C18)*C2*(C4+C5+C6)</f>
        <v>0</v>
      </c>
      <c r="D46" s="649"/>
      <c r="E46" s="648">
        <f>C46*D46</f>
        <v>0</v>
      </c>
      <c r="F46" s="535"/>
      <c r="G46" s="501"/>
      <c r="H46" s="501"/>
      <c r="I46" s="501"/>
      <c r="J46" s="501"/>
      <c r="K46" s="501"/>
      <c r="L46" s="501"/>
    </row>
    <row r="47" spans="1:12" ht="12" customHeight="1">
      <c r="A47" s="501"/>
      <c r="B47" s="547" t="s">
        <v>552</v>
      </c>
      <c r="C47" s="442">
        <f>C20*C2*(C4+C5+C6)</f>
        <v>4</v>
      </c>
      <c r="D47" s="647"/>
      <c r="E47" s="648">
        <f>D47*C47</f>
        <v>0</v>
      </c>
      <c r="F47" s="535"/>
      <c r="G47" s="501"/>
      <c r="H47" s="501"/>
      <c r="I47" s="501"/>
      <c r="J47" s="501"/>
      <c r="K47" s="501"/>
      <c r="L47" s="501"/>
    </row>
    <row r="48" spans="1:12" ht="12" customHeight="1">
      <c r="A48" s="501"/>
      <c r="B48" s="547" t="s">
        <v>617</v>
      </c>
      <c r="C48" s="442">
        <f>C18*C2*(C4+C5+C6)</f>
        <v>0</v>
      </c>
      <c r="D48" s="647"/>
      <c r="E48" s="648">
        <f>D48*C48</f>
        <v>0</v>
      </c>
      <c r="F48" s="535"/>
      <c r="G48" s="501"/>
      <c r="H48" s="501"/>
      <c r="I48" s="501"/>
      <c r="J48" s="501"/>
      <c r="K48" s="501"/>
      <c r="L48" s="501"/>
    </row>
    <row r="49" spans="1:12" ht="12" customHeight="1">
      <c r="A49" s="501"/>
      <c r="B49" s="547" t="s">
        <v>442</v>
      </c>
      <c r="C49" s="442">
        <f>C17*C2*(C4+C5*C6)</f>
        <v>0</v>
      </c>
      <c r="D49" s="647"/>
      <c r="E49" s="648">
        <f t="shared" ref="E49:E83" si="2">C49*D49</f>
        <v>0</v>
      </c>
      <c r="F49" s="535"/>
      <c r="G49" s="501"/>
      <c r="H49" s="501"/>
      <c r="I49" s="501"/>
      <c r="J49" s="501"/>
      <c r="K49" s="501"/>
      <c r="L49" s="501"/>
    </row>
    <row r="50" spans="1:12" ht="12" customHeight="1">
      <c r="A50" s="501"/>
      <c r="B50" s="547" t="s">
        <v>443</v>
      </c>
      <c r="C50" s="442">
        <f>C19*C2*(C4+C5+C6)</f>
        <v>0</v>
      </c>
      <c r="D50" s="647"/>
      <c r="E50" s="648">
        <f t="shared" si="2"/>
        <v>0</v>
      </c>
      <c r="F50" s="535"/>
      <c r="G50" s="501"/>
      <c r="H50" s="501"/>
      <c r="I50" s="501"/>
      <c r="J50" s="501"/>
      <c r="K50" s="501"/>
      <c r="L50" s="501"/>
    </row>
    <row r="51" spans="1:12" ht="12" customHeight="1">
      <c r="A51" s="501"/>
      <c r="B51" s="545" t="s">
        <v>540</v>
      </c>
      <c r="C51" s="437">
        <f>C2*C4</f>
        <v>0</v>
      </c>
      <c r="D51" s="647"/>
      <c r="E51" s="648">
        <f t="shared" si="2"/>
        <v>0</v>
      </c>
      <c r="F51" s="535"/>
      <c r="G51" s="501"/>
      <c r="H51" s="501"/>
      <c r="I51" s="501"/>
      <c r="J51" s="501"/>
      <c r="K51" s="501"/>
      <c r="L51" s="501"/>
    </row>
    <row r="52" spans="1:12" ht="12" customHeight="1">
      <c r="A52" s="501"/>
      <c r="B52" s="545" t="s">
        <v>541</v>
      </c>
      <c r="C52" s="437">
        <f>C2*C5</f>
        <v>0</v>
      </c>
      <c r="D52" s="647"/>
      <c r="E52" s="648">
        <f t="shared" si="2"/>
        <v>0</v>
      </c>
      <c r="F52" s="535"/>
      <c r="G52" s="501"/>
      <c r="H52" s="701"/>
      <c r="I52" s="501"/>
      <c r="J52" s="501"/>
      <c r="K52" s="501"/>
      <c r="L52" s="501"/>
    </row>
    <row r="53" spans="1:12" ht="12" customHeight="1">
      <c r="A53" s="501"/>
      <c r="B53" s="545" t="s">
        <v>681</v>
      </c>
      <c r="C53" s="437">
        <f>C2*C6</f>
        <v>4</v>
      </c>
      <c r="D53" s="647"/>
      <c r="E53" s="648">
        <f>C53*D53</f>
        <v>0</v>
      </c>
      <c r="F53" s="535"/>
      <c r="G53" s="501"/>
      <c r="H53" s="501"/>
      <c r="I53" s="501"/>
      <c r="J53" s="501"/>
      <c r="K53" s="501"/>
      <c r="L53" s="501"/>
    </row>
    <row r="54" spans="1:12" ht="12" customHeight="1">
      <c r="A54" s="501"/>
      <c r="B54" s="731" t="s">
        <v>720</v>
      </c>
      <c r="C54" s="437">
        <f>IF(AND(C7=1,C8=1),(C4+C5+C6)*C2,0)</f>
        <v>0</v>
      </c>
      <c r="D54" s="647"/>
      <c r="E54" s="648">
        <f t="shared" si="2"/>
        <v>0</v>
      </c>
      <c r="F54" s="535"/>
      <c r="G54" s="501"/>
      <c r="H54" s="501"/>
      <c r="I54" s="501"/>
      <c r="J54" s="501"/>
      <c r="K54" s="501"/>
      <c r="L54" s="501"/>
    </row>
    <row r="55" spans="1:12" ht="12" customHeight="1">
      <c r="A55" s="501"/>
      <c r="B55" s="545" t="s">
        <v>521</v>
      </c>
      <c r="C55" s="437">
        <f>(C4+C5+C6)*2</f>
        <v>2</v>
      </c>
      <c r="D55" s="647"/>
      <c r="E55" s="648">
        <f t="shared" si="2"/>
        <v>0</v>
      </c>
      <c r="F55" s="535"/>
      <c r="G55" s="501"/>
      <c r="H55" s="501"/>
      <c r="I55" s="501"/>
      <c r="J55" s="501"/>
      <c r="K55" s="501"/>
      <c r="L55" s="501"/>
    </row>
    <row r="56" spans="1:12" ht="12" customHeight="1">
      <c r="A56" s="501"/>
      <c r="B56" s="547" t="s">
        <v>739</v>
      </c>
      <c r="C56" s="442">
        <f>IF(C7=1,(C4+C5+C6)*2*C3,0)</f>
        <v>0</v>
      </c>
      <c r="D56" s="647"/>
      <c r="E56" s="648">
        <f t="shared" si="2"/>
        <v>0</v>
      </c>
      <c r="F56" s="535"/>
      <c r="G56" s="501"/>
      <c r="H56" s="501"/>
      <c r="I56" s="501"/>
      <c r="J56" s="501"/>
      <c r="K56" s="501"/>
      <c r="L56" s="501"/>
    </row>
    <row r="57" spans="1:12" ht="12" customHeight="1">
      <c r="A57" s="501"/>
      <c r="B57" s="547" t="s">
        <v>740</v>
      </c>
      <c r="C57" s="442">
        <f>IF(C7=1,(C4+C5+C6)*2*C3,0)</f>
        <v>0</v>
      </c>
      <c r="D57" s="647"/>
      <c r="E57" s="648">
        <f t="shared" si="2"/>
        <v>0</v>
      </c>
      <c r="F57" s="535"/>
      <c r="G57" s="501"/>
      <c r="H57" s="501"/>
      <c r="I57" s="501"/>
      <c r="J57" s="501"/>
      <c r="K57" s="501"/>
      <c r="L57" s="501"/>
    </row>
    <row r="58" spans="1:12" ht="12" customHeight="1">
      <c r="A58" s="501"/>
      <c r="B58" s="545" t="s">
        <v>741</v>
      </c>
      <c r="C58" s="437">
        <f>(C4+C5+C6)*C2</f>
        <v>4</v>
      </c>
      <c r="D58" s="647"/>
      <c r="E58" s="648">
        <f t="shared" si="2"/>
        <v>0</v>
      </c>
      <c r="F58" s="535"/>
      <c r="G58" s="501"/>
      <c r="H58" s="501"/>
      <c r="I58" s="501"/>
      <c r="J58" s="501"/>
      <c r="K58" s="501"/>
      <c r="L58" s="501"/>
    </row>
    <row r="59" spans="1:12" ht="12" customHeight="1">
      <c r="A59" s="501"/>
      <c r="B59" s="545" t="s">
        <v>742</v>
      </c>
      <c r="C59" s="437">
        <f>(C4+C5+C6)*C2</f>
        <v>4</v>
      </c>
      <c r="D59" s="647"/>
      <c r="E59" s="648">
        <f t="shared" si="2"/>
        <v>0</v>
      </c>
      <c r="F59" s="535"/>
      <c r="G59" s="501"/>
      <c r="H59" s="501"/>
      <c r="I59" s="501"/>
      <c r="J59" s="501"/>
      <c r="K59" s="501"/>
      <c r="L59" s="501"/>
    </row>
    <row r="60" spans="1:12" ht="12" customHeight="1">
      <c r="A60" s="501"/>
      <c r="B60" s="547" t="s">
        <v>727</v>
      </c>
      <c r="C60" s="442">
        <f>IF(C21=0,C4+C5+C6,0)</f>
        <v>1</v>
      </c>
      <c r="D60" s="647"/>
      <c r="E60" s="648">
        <f t="shared" si="2"/>
        <v>0</v>
      </c>
      <c r="F60" s="535"/>
      <c r="G60" s="501"/>
      <c r="H60" s="501"/>
      <c r="I60" s="501"/>
      <c r="J60" s="501"/>
      <c r="K60" s="501"/>
      <c r="L60" s="501"/>
    </row>
    <row r="61" spans="1:12" ht="12" customHeight="1">
      <c r="A61" s="501"/>
      <c r="B61" s="547" t="s">
        <v>806</v>
      </c>
      <c r="C61" s="442">
        <f>IF(C16=1,(C4+C5+C6)*2,0)</f>
        <v>0</v>
      </c>
      <c r="D61" s="647"/>
      <c r="E61" s="648">
        <f t="shared" si="2"/>
        <v>0</v>
      </c>
      <c r="F61" s="535"/>
      <c r="G61" s="501"/>
      <c r="H61" s="501"/>
      <c r="I61" s="501"/>
      <c r="J61" s="501"/>
      <c r="K61" s="501"/>
      <c r="L61" s="501"/>
    </row>
    <row r="62" spans="1:12" ht="12" customHeight="1">
      <c r="A62" s="501"/>
      <c r="B62" s="547" t="s">
        <v>806</v>
      </c>
      <c r="C62" s="442">
        <f>(C4+C5+C6)*4</f>
        <v>4</v>
      </c>
      <c r="D62" s="647"/>
      <c r="E62" s="648">
        <f t="shared" si="2"/>
        <v>0</v>
      </c>
      <c r="F62" s="535"/>
      <c r="G62" s="501"/>
      <c r="H62" s="501"/>
      <c r="I62" s="501"/>
      <c r="J62" s="501"/>
      <c r="K62" s="501"/>
      <c r="L62" s="501"/>
    </row>
    <row r="63" spans="1:12" ht="12" customHeight="1">
      <c r="A63" s="501"/>
      <c r="B63" s="621" t="s">
        <v>618</v>
      </c>
      <c r="C63" s="442">
        <f>IF(C7=1,(C4+C5+C6)*2,0)</f>
        <v>0</v>
      </c>
      <c r="D63" s="647"/>
      <c r="E63" s="648">
        <f t="shared" si="2"/>
        <v>0</v>
      </c>
      <c r="F63" s="535"/>
      <c r="G63" s="501"/>
      <c r="H63" s="501"/>
      <c r="I63" s="501"/>
      <c r="J63" s="501"/>
      <c r="K63" s="501"/>
      <c r="L63" s="501"/>
    </row>
    <row r="64" spans="1:12" ht="12" customHeight="1">
      <c r="A64" s="501"/>
      <c r="B64" s="731" t="s">
        <v>743</v>
      </c>
      <c r="C64" s="495">
        <f>IF(AND(C8=0,C7=1),(C4+C5+C6)*2,0)</f>
        <v>0</v>
      </c>
      <c r="D64" s="650"/>
      <c r="E64" s="648">
        <f t="shared" si="2"/>
        <v>0</v>
      </c>
      <c r="F64" s="535"/>
      <c r="G64" s="501"/>
      <c r="H64" s="501"/>
      <c r="I64" s="501"/>
      <c r="J64" s="501"/>
      <c r="K64" s="501"/>
      <c r="L64" s="501"/>
    </row>
    <row r="65" spans="1:12" ht="12" customHeight="1">
      <c r="A65" s="501"/>
      <c r="B65" s="731" t="s">
        <v>744</v>
      </c>
      <c r="C65" s="495">
        <f>C7*2*(C4+C5+C6)</f>
        <v>0</v>
      </c>
      <c r="D65" s="650"/>
      <c r="E65" s="648">
        <f t="shared" si="2"/>
        <v>0</v>
      </c>
      <c r="F65" s="535"/>
      <c r="G65" s="501"/>
      <c r="H65" s="501"/>
      <c r="I65" s="501"/>
      <c r="J65" s="501"/>
      <c r="K65" s="501"/>
      <c r="L65" s="501"/>
    </row>
    <row r="66" spans="1:12" ht="12" customHeight="1">
      <c r="A66" s="501"/>
      <c r="B66" s="731" t="s">
        <v>745</v>
      </c>
      <c r="C66" s="495">
        <f>IF(AND(C7=1,C8=1),(C4+C5+C6)*2,0)</f>
        <v>0</v>
      </c>
      <c r="D66" s="650"/>
      <c r="E66" s="648">
        <f t="shared" si="2"/>
        <v>0</v>
      </c>
      <c r="F66" s="535"/>
      <c r="G66" s="501"/>
      <c r="H66" s="501"/>
      <c r="I66" s="501"/>
      <c r="J66" s="501"/>
      <c r="K66" s="501"/>
      <c r="L66" s="501"/>
    </row>
    <row r="67" spans="1:12" ht="12" customHeight="1">
      <c r="A67" s="501"/>
      <c r="B67" s="731" t="s">
        <v>544</v>
      </c>
      <c r="C67" s="495">
        <f>C7*2*(C4+C5+C6)</f>
        <v>0</v>
      </c>
      <c r="D67" s="650"/>
      <c r="E67" s="648">
        <f t="shared" si="2"/>
        <v>0</v>
      </c>
      <c r="F67" s="535"/>
      <c r="G67" s="501"/>
      <c r="H67" s="501"/>
      <c r="I67" s="501"/>
      <c r="J67" s="501"/>
      <c r="K67" s="501"/>
      <c r="L67" s="501"/>
    </row>
    <row r="68" spans="1:12" ht="12" customHeight="1">
      <c r="A68" s="501"/>
      <c r="B68" s="731" t="s">
        <v>563</v>
      </c>
      <c r="C68" s="495">
        <f>C2*(C4+C5+C6)</f>
        <v>4</v>
      </c>
      <c r="D68" s="650"/>
      <c r="E68" s="648">
        <f t="shared" si="2"/>
        <v>0</v>
      </c>
      <c r="F68" s="535"/>
      <c r="G68" s="501"/>
      <c r="H68" s="501"/>
      <c r="I68" s="501"/>
      <c r="J68" s="501"/>
      <c r="K68" s="501"/>
      <c r="L68" s="501"/>
    </row>
    <row r="69" spans="1:12" ht="12" customHeight="1">
      <c r="A69" s="501"/>
      <c r="B69" s="731" t="s">
        <v>563</v>
      </c>
      <c r="C69" s="495">
        <f>IF(C8=1,C2*(C4+C5+C6),0)</f>
        <v>0</v>
      </c>
      <c r="D69" s="650"/>
      <c r="E69" s="648">
        <f t="shared" si="2"/>
        <v>0</v>
      </c>
      <c r="F69" s="535"/>
      <c r="G69" s="501"/>
      <c r="H69" s="501"/>
      <c r="I69" s="501"/>
      <c r="J69" s="501"/>
      <c r="K69" s="501"/>
      <c r="L69" s="501"/>
    </row>
    <row r="70" spans="1:12" ht="12" customHeight="1">
      <c r="A70" s="501"/>
      <c r="B70" s="731" t="s">
        <v>562</v>
      </c>
      <c r="C70" s="495">
        <f>IF(C7=1,C3*4*(C4+C5+C6),0)</f>
        <v>0</v>
      </c>
      <c r="D70" s="650"/>
      <c r="E70" s="648">
        <f t="shared" si="2"/>
        <v>0</v>
      </c>
      <c r="F70" s="535"/>
      <c r="G70" s="501"/>
      <c r="H70" s="501"/>
      <c r="I70" s="501"/>
      <c r="J70" s="501"/>
      <c r="K70" s="501"/>
      <c r="L70" s="501"/>
    </row>
    <row r="71" spans="1:12" ht="12" customHeight="1">
      <c r="A71" s="501"/>
      <c r="B71" s="548" t="s">
        <v>456</v>
      </c>
      <c r="C71" s="450">
        <f>C9*C4</f>
        <v>0</v>
      </c>
      <c r="D71" s="649"/>
      <c r="E71" s="648">
        <f t="shared" si="2"/>
        <v>0</v>
      </c>
      <c r="F71" s="535"/>
      <c r="G71" s="501"/>
      <c r="H71" s="501"/>
      <c r="I71" s="501"/>
      <c r="J71" s="501"/>
      <c r="K71" s="501"/>
      <c r="L71" s="501"/>
    </row>
    <row r="72" spans="1:12" ht="12" customHeight="1">
      <c r="A72" s="501"/>
      <c r="B72" s="548" t="s">
        <v>678</v>
      </c>
      <c r="C72" s="450">
        <f>C12*C4</f>
        <v>0</v>
      </c>
      <c r="D72" s="649"/>
      <c r="E72" s="648">
        <f t="shared" si="2"/>
        <v>0</v>
      </c>
      <c r="F72" s="535"/>
      <c r="G72" s="501"/>
      <c r="H72" s="501"/>
      <c r="I72" s="501"/>
      <c r="J72" s="501"/>
      <c r="K72" s="501"/>
      <c r="L72" s="501"/>
    </row>
    <row r="73" spans="1:12" ht="12" customHeight="1">
      <c r="A73" s="501"/>
      <c r="B73" s="548" t="s">
        <v>515</v>
      </c>
      <c r="C73" s="450">
        <f>C10*C5</f>
        <v>0</v>
      </c>
      <c r="D73" s="649"/>
      <c r="E73" s="648">
        <f t="shared" si="2"/>
        <v>0</v>
      </c>
      <c r="F73" s="535"/>
      <c r="G73" s="501"/>
      <c r="H73" s="501"/>
      <c r="I73" s="501"/>
      <c r="J73" s="501"/>
      <c r="K73" s="501"/>
      <c r="L73" s="501"/>
    </row>
    <row r="74" spans="1:12" ht="12" customHeight="1">
      <c r="A74" s="501"/>
      <c r="B74" s="548" t="s">
        <v>682</v>
      </c>
      <c r="C74" s="450">
        <f>C6*C11</f>
        <v>1</v>
      </c>
      <c r="D74" s="443"/>
      <c r="E74" s="439">
        <f t="shared" si="2"/>
        <v>0</v>
      </c>
      <c r="F74" s="535"/>
      <c r="G74" s="501"/>
      <c r="H74" s="501"/>
      <c r="I74" s="501"/>
      <c r="J74" s="501"/>
      <c r="K74" s="501"/>
      <c r="L74" s="501"/>
    </row>
    <row r="75" spans="1:12" ht="12" customHeight="1">
      <c r="A75" s="501"/>
      <c r="B75" s="548" t="s">
        <v>683</v>
      </c>
      <c r="C75" s="450">
        <f>C6*C14</f>
        <v>0</v>
      </c>
      <c r="D75" s="443"/>
      <c r="E75" s="439">
        <f t="shared" si="2"/>
        <v>0</v>
      </c>
      <c r="F75" s="535"/>
      <c r="G75" s="501"/>
      <c r="H75" s="501"/>
      <c r="I75" s="501"/>
      <c r="J75" s="501"/>
      <c r="K75" s="501"/>
      <c r="L75" s="501"/>
    </row>
    <row r="76" spans="1:12" ht="12" customHeight="1">
      <c r="A76" s="501"/>
      <c r="B76" s="548" t="s">
        <v>679</v>
      </c>
      <c r="C76" s="450">
        <f>C13*C5</f>
        <v>0</v>
      </c>
      <c r="D76" s="649"/>
      <c r="E76" s="648">
        <f t="shared" si="2"/>
        <v>0</v>
      </c>
      <c r="F76" s="535"/>
      <c r="G76" s="501"/>
      <c r="H76" s="501"/>
      <c r="I76" s="501"/>
      <c r="J76" s="501"/>
      <c r="K76" s="501"/>
      <c r="L76" s="501"/>
    </row>
    <row r="77" spans="1:12" ht="12" customHeight="1">
      <c r="A77" s="501"/>
      <c r="B77" s="547" t="s">
        <v>504</v>
      </c>
      <c r="C77" s="450">
        <f>IF(C16&gt;0,C16*C3*2*(C4+C5+C6)+0.3,0)</f>
        <v>0</v>
      </c>
      <c r="D77" s="649"/>
      <c r="E77" s="648">
        <f t="shared" si="2"/>
        <v>0</v>
      </c>
      <c r="F77" s="535"/>
      <c r="G77" s="501"/>
      <c r="H77" s="501"/>
      <c r="I77" s="501"/>
      <c r="J77" s="501"/>
      <c r="K77" s="501"/>
      <c r="L77" s="501"/>
    </row>
    <row r="78" spans="1:12" ht="12" customHeight="1">
      <c r="A78" s="501"/>
      <c r="B78" s="547" t="s">
        <v>505</v>
      </c>
      <c r="C78" s="450">
        <f>IF(C16=1,C16*2*(C4+C5+C6),0)</f>
        <v>0</v>
      </c>
      <c r="D78" s="649"/>
      <c r="E78" s="648">
        <f t="shared" si="2"/>
        <v>0</v>
      </c>
      <c r="F78" s="535"/>
      <c r="G78" s="501"/>
      <c r="H78" s="501"/>
      <c r="I78" s="501"/>
      <c r="J78" s="501"/>
      <c r="K78" s="501"/>
      <c r="L78" s="501"/>
    </row>
    <row r="79" spans="1:12" ht="12" customHeight="1">
      <c r="A79" s="501"/>
      <c r="B79" s="547" t="s">
        <v>506</v>
      </c>
      <c r="C79" s="450">
        <f>C16*2*(C4+C5+C6)</f>
        <v>0</v>
      </c>
      <c r="D79" s="649"/>
      <c r="E79" s="648">
        <f t="shared" si="2"/>
        <v>0</v>
      </c>
      <c r="F79" s="535"/>
      <c r="G79" s="501"/>
      <c r="H79" s="501"/>
      <c r="I79" s="501"/>
      <c r="J79" s="501"/>
      <c r="K79" s="501"/>
      <c r="L79" s="501"/>
    </row>
    <row r="80" spans="1:12" ht="12" customHeight="1">
      <c r="A80" s="501"/>
      <c r="B80" s="547" t="s">
        <v>507</v>
      </c>
      <c r="C80" s="450">
        <f>C16*2*(C4+C5+C6)</f>
        <v>0</v>
      </c>
      <c r="D80" s="649"/>
      <c r="E80" s="648">
        <f t="shared" si="2"/>
        <v>0</v>
      </c>
      <c r="F80" s="549"/>
      <c r="G80" s="501"/>
      <c r="H80" s="501"/>
      <c r="I80" s="501"/>
      <c r="J80" s="501"/>
      <c r="K80" s="501"/>
      <c r="L80" s="501"/>
    </row>
    <row r="81" spans="1:12" ht="12" customHeight="1">
      <c r="A81" s="501"/>
      <c r="B81" s="621" t="s">
        <v>203</v>
      </c>
      <c r="C81" s="602">
        <f>C23</f>
        <v>0</v>
      </c>
      <c r="D81" s="618"/>
      <c r="E81" s="496">
        <f t="shared" si="2"/>
        <v>0</v>
      </c>
      <c r="F81" s="549"/>
      <c r="G81" s="501"/>
      <c r="H81" s="501"/>
      <c r="I81" s="501"/>
      <c r="J81" s="501"/>
      <c r="K81" s="501"/>
      <c r="L81" s="501"/>
    </row>
    <row r="82" spans="1:12" ht="12" customHeight="1">
      <c r="A82" s="501"/>
      <c r="B82" s="547" t="s">
        <v>206</v>
      </c>
      <c r="C82" s="442">
        <f>C22</f>
        <v>1</v>
      </c>
      <c r="D82" s="449"/>
      <c r="E82" s="439">
        <f t="shared" si="2"/>
        <v>0</v>
      </c>
      <c r="F82" s="549"/>
      <c r="G82" s="501"/>
      <c r="H82" s="501"/>
      <c r="I82" s="501"/>
      <c r="J82" s="501"/>
      <c r="K82" s="501"/>
      <c r="L82" s="501"/>
    </row>
    <row r="83" spans="1:12" ht="12" customHeight="1" thickBot="1">
      <c r="A83" s="501"/>
      <c r="B83" s="622" t="s">
        <v>508</v>
      </c>
      <c r="C83" s="498">
        <f>C16*2*(C4+C5+C6)</f>
        <v>0</v>
      </c>
      <c r="D83" s="651"/>
      <c r="E83" s="652">
        <f t="shared" si="2"/>
        <v>0</v>
      </c>
      <c r="F83" s="535"/>
      <c r="G83" s="501"/>
      <c r="H83" s="501"/>
      <c r="I83" s="501"/>
      <c r="J83" s="501"/>
      <c r="K83" s="501"/>
      <c r="L83" s="501"/>
    </row>
    <row r="84" spans="1:12" ht="12" customHeight="1" thickBot="1">
      <c r="A84" s="501"/>
      <c r="B84" s="535"/>
      <c r="C84" s="535"/>
      <c r="D84" s="551" t="s">
        <v>9</v>
      </c>
      <c r="E84" s="623">
        <f>SUMIF(E26:E83,"&gt;0",E26:E83)</f>
        <v>0</v>
      </c>
      <c r="F84" s="535"/>
      <c r="G84" s="501"/>
      <c r="H84" s="501"/>
      <c r="I84" s="501"/>
      <c r="J84" s="501"/>
      <c r="K84" s="501"/>
      <c r="L84" s="501"/>
    </row>
    <row r="85" spans="1:12" ht="12" customHeight="1">
      <c r="A85" s="501"/>
      <c r="B85" s="535"/>
      <c r="C85" s="535"/>
      <c r="D85" s="535"/>
      <c r="E85" s="535"/>
      <c r="F85" s="535"/>
      <c r="G85" s="501"/>
      <c r="H85" s="501"/>
      <c r="I85" s="501"/>
      <c r="J85" s="501"/>
      <c r="K85" s="501"/>
      <c r="L85" s="501"/>
    </row>
    <row r="86" spans="1:12" ht="12" customHeight="1">
      <c r="A86" s="501"/>
      <c r="B86" s="535"/>
      <c r="C86" s="535"/>
      <c r="D86" s="535"/>
      <c r="E86" s="535"/>
      <c r="F86" s="535"/>
      <c r="G86" s="501"/>
      <c r="H86" s="501"/>
      <c r="I86" s="501"/>
      <c r="J86" s="501"/>
      <c r="K86" s="501"/>
      <c r="L86" s="501"/>
    </row>
    <row r="87" spans="1:12" ht="12" customHeight="1">
      <c r="A87" s="501"/>
      <c r="B87" s="501"/>
      <c r="C87" s="501"/>
      <c r="D87" s="501"/>
      <c r="E87" s="501"/>
      <c r="F87" s="501"/>
      <c r="G87" s="501"/>
      <c r="H87" s="501"/>
      <c r="I87" s="501"/>
      <c r="J87" s="501"/>
      <c r="K87" s="501"/>
      <c r="L87" s="501"/>
    </row>
    <row r="88" spans="1:12" ht="12" customHeight="1">
      <c r="A88" s="501"/>
      <c r="B88" s="501"/>
      <c r="C88" s="501"/>
      <c r="D88" s="501"/>
      <c r="E88" s="501"/>
      <c r="F88" s="501"/>
      <c r="G88" s="501"/>
      <c r="H88" s="501"/>
      <c r="I88" s="501"/>
      <c r="J88" s="501"/>
      <c r="K88" s="501"/>
      <c r="L88" s="501"/>
    </row>
    <row r="89" spans="1:12" ht="12" customHeight="1">
      <c r="A89" s="501"/>
      <c r="B89" s="501"/>
      <c r="C89" s="501"/>
      <c r="D89" s="501"/>
      <c r="E89" s="501"/>
      <c r="F89" s="501"/>
      <c r="G89" s="501"/>
      <c r="H89" s="501"/>
      <c r="I89" s="501"/>
      <c r="J89" s="501"/>
      <c r="K89" s="501"/>
      <c r="L89" s="501"/>
    </row>
    <row r="90" spans="1:12" ht="12" customHeight="1">
      <c r="A90" s="501"/>
      <c r="B90" s="501"/>
      <c r="C90" s="501"/>
      <c r="D90" s="501"/>
      <c r="E90" s="501"/>
      <c r="F90" s="501"/>
      <c r="G90" s="501"/>
      <c r="H90" s="501"/>
      <c r="I90" s="501"/>
      <c r="J90" s="501"/>
      <c r="K90" s="501"/>
      <c r="L90" s="501"/>
    </row>
  </sheetData>
  <sheetProtection algorithmName="SHA-512" hashValue="SZQ83dJCkYyjx8KQ6X0EeQLQ+i/JYw2nVEqwpksy3qgk5nCixrrmGhcQjjwgZiWnyp5vgmDYMK1zlvG26iZUFw==" saltValue="vQx59niTUqONE37s0HSx1A==" spinCount="100000" sheet="1"/>
  <mergeCells count="7">
    <mergeCell ref="B1:E1"/>
    <mergeCell ref="D22:F22"/>
    <mergeCell ref="D23:F23"/>
    <mergeCell ref="F17:F20"/>
    <mergeCell ref="F9:F14"/>
    <mergeCell ref="D2:F3"/>
    <mergeCell ref="D4:F6"/>
  </mergeCells>
  <conditionalFormatting sqref="C15">
    <cfRule type="cellIs" dxfId="374" priority="66" operator="greaterThan">
      <formula>0</formula>
    </cfRule>
  </conditionalFormatting>
  <conditionalFormatting sqref="J3:J19">
    <cfRule type="cellIs" dxfId="373" priority="12" operator="greaterThan">
      <formula>0</formula>
    </cfRule>
    <cfRule type="cellIs" dxfId="372" priority="13" operator="greaterThan">
      <formula>0</formula>
    </cfRule>
  </conditionalFormatting>
  <conditionalFormatting sqref="H10:H12">
    <cfRule type="iconSet" priority="37">
      <iconSet iconSet="3Symbols">
        <cfvo type="percent" val="0"/>
        <cfvo type="percent" val="33"/>
        <cfvo type="percent" val="67"/>
      </iconSet>
    </cfRule>
    <cfRule type="expression" priority="38">
      <formula>"H71=1"</formula>
    </cfRule>
  </conditionalFormatting>
  <conditionalFormatting sqref="H10">
    <cfRule type="iconSet" priority="36">
      <iconSet iconSet="3Symbols">
        <cfvo type="percent" val="0"/>
        <cfvo type="percent" val="33"/>
        <cfvo type="percent" val="67"/>
      </iconSet>
    </cfRule>
  </conditionalFormatting>
  <conditionalFormatting sqref="I3:I4 I10:I12 I6:I8 I15:I17">
    <cfRule type="cellIs" dxfId="371" priority="33" operator="equal">
      <formula>"ДА"</formula>
    </cfRule>
    <cfRule type="cellIs" dxfId="370" priority="34" operator="equal">
      <formula>"НЕТ"</formula>
    </cfRule>
  </conditionalFormatting>
  <conditionalFormatting sqref="I3:I4 I6:I8">
    <cfRule type="colorScale" priority="3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369" priority="30" operator="equal">
      <formula>"ДА"</formula>
    </cfRule>
    <cfRule type="cellIs" dxfId="368" priority="31" operator="equal">
      <formula>"НЕТ"</formula>
    </cfRule>
  </conditionalFormatting>
  <conditionalFormatting sqref="I5">
    <cfRule type="cellIs" dxfId="367" priority="27" operator="equal">
      <formula>"ДА"</formula>
    </cfRule>
    <cfRule type="cellIs" dxfId="366" priority="28" operator="equal">
      <formula>"НЕТ"</formula>
    </cfRule>
  </conditionalFormatting>
  <conditionalFormatting sqref="I9">
    <cfRule type="colorScale" priority="3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365" priority="23" operator="equal">
      <formula>"ДА"</formula>
    </cfRule>
    <cfRule type="cellIs" dxfId="364" priority="24" operator="equal">
      <formula>"НЕТ"</formula>
    </cfRule>
  </conditionalFormatting>
  <conditionalFormatting sqref="I5">
    <cfRule type="colorScale" priority="29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25">
      <iconSet iconSet="3Symbols">
        <cfvo type="percent" val="0"/>
        <cfvo type="percent" val="33"/>
        <cfvo type="percent" val="67"/>
      </iconSet>
    </cfRule>
    <cfRule type="expression" priority="26">
      <formula>"H71=1"</formula>
    </cfRule>
  </conditionalFormatting>
  <conditionalFormatting sqref="I14">
    <cfRule type="cellIs" dxfId="363" priority="19" operator="equal">
      <formula>"ДА"</formula>
    </cfRule>
    <cfRule type="cellIs" dxfId="362" priority="20" operator="equal">
      <formula>"НЕТ"</formula>
    </cfRule>
  </conditionalFormatting>
  <conditionalFormatting sqref="H14">
    <cfRule type="iconSet" priority="21">
      <iconSet iconSet="3Symbols">
        <cfvo type="percent" val="0"/>
        <cfvo type="percent" val="33"/>
        <cfvo type="percent" val="67"/>
      </iconSet>
    </cfRule>
    <cfRule type="expression" priority="22">
      <formula>"H71=1"</formula>
    </cfRule>
  </conditionalFormatting>
  <conditionalFormatting sqref="I18">
    <cfRule type="cellIs" dxfId="361" priority="17" operator="equal">
      <formula>"ДА"</formula>
    </cfRule>
    <cfRule type="cellIs" dxfId="360" priority="18" operator="equal">
      <formula>"НЕТ"</formula>
    </cfRule>
  </conditionalFormatting>
  <conditionalFormatting sqref="I19">
    <cfRule type="cellIs" dxfId="359" priority="15" operator="equal">
      <formula>"ДА"</formula>
    </cfRule>
    <cfRule type="cellIs" dxfId="358" priority="16" operator="equal">
      <formula>"НЕТ"</formula>
    </cfRule>
  </conditionalFormatting>
  <conditionalFormatting sqref="K3:K19">
    <cfRule type="cellIs" dxfId="357" priority="14" operator="greaterThan">
      <formula>0</formula>
    </cfRule>
  </conditionalFormatting>
  <conditionalFormatting sqref="C74:E74">
    <cfRule type="cellIs" dxfId="356" priority="11" operator="greaterThan">
      <formula>0</formula>
    </cfRule>
  </conditionalFormatting>
  <conditionalFormatting sqref="C75:E75">
    <cfRule type="cellIs" dxfId="355" priority="10" operator="greaterThan">
      <formula>0</formula>
    </cfRule>
  </conditionalFormatting>
  <conditionalFormatting sqref="I15:I19">
    <cfRule type="cellIs" dxfId="354" priority="9" operator="equal">
      <formula>"НЕТ"</formula>
    </cfRule>
  </conditionalFormatting>
  <conditionalFormatting sqref="I3:I19">
    <cfRule type="cellIs" dxfId="353" priority="5" operator="equal">
      <formula>"НЕТ"</formula>
    </cfRule>
    <cfRule type="cellIs" dxfId="352" priority="8" operator="equal">
      <formula>"ДА"</formula>
    </cfRule>
  </conditionalFormatting>
  <conditionalFormatting sqref="C2:C21">
    <cfRule type="cellIs" dxfId="351" priority="7" operator="greaterThan">
      <formula>0</formula>
    </cfRule>
  </conditionalFormatting>
  <conditionalFormatting sqref="C26:E80 C83:E83">
    <cfRule type="cellIs" dxfId="350" priority="6" operator="greaterThan">
      <formula>0</formula>
    </cfRule>
  </conditionalFormatting>
  <conditionalFormatting sqref="I3:I18">
    <cfRule type="cellIs" dxfId="349" priority="4" operator="equal">
      <formula>"ДА"</formula>
    </cfRule>
  </conditionalFormatting>
  <conditionalFormatting sqref="E84">
    <cfRule type="cellIs" dxfId="348" priority="3" operator="greaterThan">
      <formula>0</formula>
    </cfRule>
  </conditionalFormatting>
  <conditionalFormatting sqref="C22:C23">
    <cfRule type="cellIs" dxfId="347" priority="2" operator="greaterThan">
      <formula>0</formula>
    </cfRule>
  </conditionalFormatting>
  <conditionalFormatting sqref="C81:E82">
    <cfRule type="cellIs" dxfId="346" priority="1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E46 E27" formula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K78"/>
  <sheetViews>
    <sheetView workbookViewId="0">
      <pane ySplit="23" topLeftCell="A24" activePane="bottomLeft" state="frozen"/>
      <selection pane="bottomLeft" activeCell="D21" sqref="D21:F21"/>
    </sheetView>
  </sheetViews>
  <sheetFormatPr defaultRowHeight="11.25"/>
  <cols>
    <col min="2" max="2" width="53" customWidth="1"/>
    <col min="4" max="4" width="10.6640625" customWidth="1"/>
    <col min="5" max="5" width="12.83203125" customWidth="1"/>
    <col min="6" max="6" width="18.1640625" customWidth="1"/>
    <col min="7" max="7" width="4.83203125" customWidth="1"/>
    <col min="8" max="8" width="49.33203125" customWidth="1"/>
    <col min="9" max="9" width="4.6640625" customWidth="1"/>
  </cols>
  <sheetData>
    <row r="1" spans="1:11" ht="49.5" customHeight="1" thickBot="1">
      <c r="A1" s="501"/>
      <c r="B1" s="1095"/>
      <c r="C1" s="1096"/>
      <c r="D1" s="1096"/>
      <c r="E1" s="1096"/>
      <c r="F1" s="501"/>
      <c r="G1" s="501"/>
      <c r="H1" s="501"/>
      <c r="I1" s="501"/>
      <c r="J1" s="501"/>
      <c r="K1" s="501"/>
    </row>
    <row r="2" spans="1:11" ht="12.75" customHeight="1" thickBot="1">
      <c r="A2" s="501"/>
      <c r="B2" s="503" t="s">
        <v>746</v>
      </c>
      <c r="C2" s="554">
        <v>0</v>
      </c>
      <c r="D2" s="1047" t="s">
        <v>675</v>
      </c>
      <c r="E2" s="1048"/>
      <c r="F2" s="1049"/>
      <c r="G2" s="501"/>
      <c r="H2" s="505" t="s">
        <v>565</v>
      </c>
      <c r="I2" s="506" t="s">
        <v>684</v>
      </c>
      <c r="J2" s="572" t="s">
        <v>4</v>
      </c>
      <c r="K2" s="573" t="s">
        <v>8</v>
      </c>
    </row>
    <row r="3" spans="1:11" ht="12.75" thickBot="1">
      <c r="A3" s="501"/>
      <c r="B3" s="508" t="s">
        <v>747</v>
      </c>
      <c r="C3" s="555">
        <v>0</v>
      </c>
      <c r="D3" s="1050"/>
      <c r="E3" s="1051"/>
      <c r="F3" s="1052"/>
      <c r="G3" s="501"/>
      <c r="H3" s="509" t="s">
        <v>450</v>
      </c>
      <c r="I3" s="510" t="str">
        <f>IF(AND($C$6=1,$C$5+$C$7+$C$8=0,$C$9=2),"ДА","НЕТ")</f>
        <v>НЕТ</v>
      </c>
      <c r="J3" s="413"/>
      <c r="K3" s="414">
        <f>IF(I3="ДА",($C$10+$C$11)*J3,0)</f>
        <v>0</v>
      </c>
    </row>
    <row r="4" spans="1:11" ht="12.75" thickBot="1">
      <c r="A4" s="501"/>
      <c r="B4" s="525" t="s">
        <v>163</v>
      </c>
      <c r="C4" s="662">
        <v>0</v>
      </c>
      <c r="D4" s="1099" t="s">
        <v>164</v>
      </c>
      <c r="E4" s="1100"/>
      <c r="F4" s="1101"/>
      <c r="G4" s="501"/>
      <c r="H4" s="512" t="s">
        <v>451</v>
      </c>
      <c r="I4" s="510" t="str">
        <f>IF(AND($C$6=1,$C$5+$C$7+$C$8=0,$C$9=2),"ДА","НЕТ")</f>
        <v>НЕТ</v>
      </c>
      <c r="J4" s="491"/>
      <c r="K4" s="414">
        <f t="shared" ref="K4:K17" si="0">IF(I4="ДА",($C$10+$C$11)*J4,0)</f>
        <v>0</v>
      </c>
    </row>
    <row r="5" spans="1:11" ht="12" customHeight="1">
      <c r="A5" s="501"/>
      <c r="B5" s="503" t="s">
        <v>572</v>
      </c>
      <c r="C5" s="560">
        <v>0</v>
      </c>
      <c r="D5" s="516" t="s">
        <v>365</v>
      </c>
      <c r="E5" s="516" t="s">
        <v>327</v>
      </c>
      <c r="F5" s="1055" t="s">
        <v>677</v>
      </c>
      <c r="G5" s="501"/>
      <c r="H5" s="512" t="s">
        <v>452</v>
      </c>
      <c r="I5" s="510" t="str">
        <f>IF(AND($C$6=1,$C$5+$C$7+$C$8=0,$C$9=2),"ДА","НЕТ")</f>
        <v>НЕТ</v>
      </c>
      <c r="J5" s="491"/>
      <c r="K5" s="414">
        <f t="shared" si="0"/>
        <v>0</v>
      </c>
    </row>
    <row r="6" spans="1:11" ht="12">
      <c r="A6" s="501"/>
      <c r="B6" s="513" t="s">
        <v>570</v>
      </c>
      <c r="C6" s="557">
        <v>0</v>
      </c>
      <c r="D6" s="520" t="s">
        <v>365</v>
      </c>
      <c r="E6" s="520" t="s">
        <v>327</v>
      </c>
      <c r="F6" s="1056"/>
      <c r="G6" s="501"/>
      <c r="H6" s="514" t="s">
        <v>454</v>
      </c>
      <c r="I6" s="510" t="str">
        <f>IF(AND($C$6=1,$C$5+$C$7+$C$8=0,$C$9=3),"ДА","НЕТ")</f>
        <v>НЕТ</v>
      </c>
      <c r="J6" s="417"/>
      <c r="K6" s="414">
        <f t="shared" si="0"/>
        <v>0</v>
      </c>
    </row>
    <row r="7" spans="1:11" ht="12">
      <c r="A7" s="501"/>
      <c r="B7" s="513" t="s">
        <v>573</v>
      </c>
      <c r="C7" s="557">
        <v>0</v>
      </c>
      <c r="D7" s="520" t="s">
        <v>365</v>
      </c>
      <c r="E7" s="520" t="s">
        <v>327</v>
      </c>
      <c r="F7" s="1056"/>
      <c r="G7" s="501"/>
      <c r="H7" s="512" t="s">
        <v>569</v>
      </c>
      <c r="I7" s="510" t="str">
        <f>IF(AND($C$8=1,$C$5+$C$6+$C$7=0,$C$9=1),"ДА","НЕТ")</f>
        <v>НЕТ</v>
      </c>
      <c r="J7" s="491"/>
      <c r="K7" s="414">
        <f t="shared" si="0"/>
        <v>0</v>
      </c>
    </row>
    <row r="8" spans="1:11" ht="12.75" thickBot="1">
      <c r="A8" s="501"/>
      <c r="B8" s="610" t="s">
        <v>571</v>
      </c>
      <c r="C8" s="609">
        <v>0</v>
      </c>
      <c r="D8" s="722" t="s">
        <v>365</v>
      </c>
      <c r="E8" s="612" t="s">
        <v>327</v>
      </c>
      <c r="F8" s="1057"/>
      <c r="G8" s="501"/>
      <c r="H8" s="514" t="s">
        <v>566</v>
      </c>
      <c r="I8" s="510" t="str">
        <f>IF(AND($C$8=1,$C$5+$C$6+$C$7=0,$C$9=3),"ДА","НЕТ")</f>
        <v>НЕТ</v>
      </c>
      <c r="J8" s="417"/>
      <c r="K8" s="414">
        <f t="shared" si="0"/>
        <v>0</v>
      </c>
    </row>
    <row r="9" spans="1:11" ht="12.75" thickBot="1">
      <c r="A9" s="501"/>
      <c r="B9" s="525" t="s">
        <v>669</v>
      </c>
      <c r="C9" s="644">
        <v>0</v>
      </c>
      <c r="D9" s="529" t="s">
        <v>699</v>
      </c>
      <c r="E9" s="530" t="s">
        <v>700</v>
      </c>
      <c r="F9" s="532" t="s">
        <v>701</v>
      </c>
      <c r="G9" s="501"/>
      <c r="H9" s="514" t="s">
        <v>567</v>
      </c>
      <c r="I9" s="510" t="str">
        <f>IF(AND($C$8=1,$C$5+$C$6+$C$7=0,$C$9=2),"ДА","НЕТ")</f>
        <v>НЕТ</v>
      </c>
      <c r="J9" s="417"/>
      <c r="K9" s="414">
        <f t="shared" si="0"/>
        <v>0</v>
      </c>
    </row>
    <row r="10" spans="1:11" ht="12" customHeight="1">
      <c r="A10" s="501"/>
      <c r="B10" s="515" t="s">
        <v>750</v>
      </c>
      <c r="C10" s="663">
        <v>0</v>
      </c>
      <c r="D10" s="1089" t="s">
        <v>677</v>
      </c>
      <c r="E10" s="1090"/>
      <c r="F10" s="1091"/>
      <c r="G10" s="501"/>
      <c r="H10" s="514" t="s">
        <v>568</v>
      </c>
      <c r="I10" s="510" t="str">
        <f>IF(AND($C$8=1,$C$5+$C$6+$C$7=0,$C$9=2),"ДА","НЕТ")</f>
        <v>НЕТ</v>
      </c>
      <c r="J10" s="417"/>
      <c r="K10" s="414">
        <f t="shared" si="0"/>
        <v>0</v>
      </c>
    </row>
    <row r="11" spans="1:11" ht="12.75" thickBot="1">
      <c r="A11" s="501"/>
      <c r="B11" s="610" t="s">
        <v>751</v>
      </c>
      <c r="C11" s="664">
        <v>0</v>
      </c>
      <c r="D11" s="1092"/>
      <c r="E11" s="1093"/>
      <c r="F11" s="1094"/>
      <c r="G11" s="501"/>
      <c r="H11" s="514" t="s">
        <v>574</v>
      </c>
      <c r="I11" s="510" t="str">
        <f>IF(AND($C$8=1,$C$5+$C$6+$C$7=0,$C$9=2),"ДА","НЕТ")</f>
        <v>НЕТ</v>
      </c>
      <c r="J11" s="417"/>
      <c r="K11" s="414">
        <f t="shared" si="0"/>
        <v>0</v>
      </c>
    </row>
    <row r="12" spans="1:11" ht="12.75" thickBot="1">
      <c r="A12" s="501"/>
      <c r="B12" s="525" t="s">
        <v>623</v>
      </c>
      <c r="C12" s="662">
        <v>0</v>
      </c>
      <c r="D12" s="529" t="s">
        <v>365</v>
      </c>
      <c r="E12" s="530" t="s">
        <v>327</v>
      </c>
      <c r="F12" s="1087"/>
      <c r="G12" s="501"/>
      <c r="H12" s="509" t="s">
        <v>460</v>
      </c>
      <c r="I12" s="510" t="str">
        <f>IF(AND($C$5=1,$C$8+$C$7+$C$6=0,$C$9=1),"ДА","НЕТ")</f>
        <v>НЕТ</v>
      </c>
      <c r="J12" s="420"/>
      <c r="K12" s="414">
        <f t="shared" si="0"/>
        <v>0</v>
      </c>
    </row>
    <row r="13" spans="1:11" ht="12.75" thickBot="1">
      <c r="A13" s="501"/>
      <c r="B13" s="525" t="s">
        <v>436</v>
      </c>
      <c r="C13" s="561">
        <v>0</v>
      </c>
      <c r="D13" s="529" t="s">
        <v>437</v>
      </c>
      <c r="E13" s="530" t="s">
        <v>438</v>
      </c>
      <c r="F13" s="1088"/>
      <c r="G13" s="501"/>
      <c r="H13" s="509" t="s">
        <v>461</v>
      </c>
      <c r="I13" s="510" t="str">
        <f>IF(AND($C$5=1,$C$8+$C$7+$C$6=0,$C$9=3),"ДА","НЕТ")</f>
        <v>НЕТ</v>
      </c>
      <c r="J13" s="420"/>
      <c r="K13" s="414">
        <f t="shared" si="0"/>
        <v>0</v>
      </c>
    </row>
    <row r="14" spans="1:11" ht="12" customHeight="1">
      <c r="A14" s="501"/>
      <c r="B14" s="515" t="s">
        <v>439</v>
      </c>
      <c r="C14" s="558">
        <v>0</v>
      </c>
      <c r="D14" s="516" t="s">
        <v>365</v>
      </c>
      <c r="E14" s="517" t="s">
        <v>327</v>
      </c>
      <c r="F14" s="1055" t="s">
        <v>677</v>
      </c>
      <c r="G14" s="501"/>
      <c r="H14" s="509" t="s">
        <v>462</v>
      </c>
      <c r="I14" s="510" t="str">
        <f>IF(AND($C$7=1,$C$6+$C$8+$C$5=0,$C$9=1),"ДА","НЕТ")</f>
        <v>НЕТ</v>
      </c>
      <c r="J14" s="420"/>
      <c r="K14" s="414">
        <f t="shared" si="0"/>
        <v>0</v>
      </c>
    </row>
    <row r="15" spans="1:11" ht="12">
      <c r="A15" s="501"/>
      <c r="B15" s="513" t="s">
        <v>440</v>
      </c>
      <c r="C15" s="557">
        <v>0</v>
      </c>
      <c r="D15" s="520" t="s">
        <v>365</v>
      </c>
      <c r="E15" s="521" t="s">
        <v>327</v>
      </c>
      <c r="F15" s="1056"/>
      <c r="G15" s="501"/>
      <c r="H15" s="512" t="s">
        <v>463</v>
      </c>
      <c r="I15" s="510" t="str">
        <f>IF(AND($C$7=1,$C$6+$C$8+$C$5=0,$C$9=1),"ДА","НЕТ")</f>
        <v>НЕТ</v>
      </c>
      <c r="J15" s="420"/>
      <c r="K15" s="414">
        <f t="shared" si="0"/>
        <v>0</v>
      </c>
    </row>
    <row r="16" spans="1:11" ht="12">
      <c r="A16" s="501"/>
      <c r="B16" s="513" t="s">
        <v>546</v>
      </c>
      <c r="C16" s="557">
        <v>0</v>
      </c>
      <c r="D16" s="520" t="s">
        <v>365</v>
      </c>
      <c r="E16" s="521" t="s">
        <v>327</v>
      </c>
      <c r="F16" s="1056"/>
      <c r="G16" s="501"/>
      <c r="H16" s="509" t="s">
        <v>467</v>
      </c>
      <c r="I16" s="510" t="str">
        <f>IF(AND($C$7=1,$C$6+$C$8+$C$5=0,$C$9=2),"ДА","НЕТ")</f>
        <v>НЕТ</v>
      </c>
      <c r="J16" s="420"/>
      <c r="K16" s="414">
        <f t="shared" si="0"/>
        <v>0</v>
      </c>
    </row>
    <row r="17" spans="1:11" ht="12.75" thickBot="1">
      <c r="A17" s="501"/>
      <c r="B17" s="586" t="s">
        <v>545</v>
      </c>
      <c r="C17" s="568">
        <v>0</v>
      </c>
      <c r="D17" s="722" t="s">
        <v>365</v>
      </c>
      <c r="E17" s="612" t="s">
        <v>327</v>
      </c>
      <c r="F17" s="1057"/>
      <c r="G17" s="501"/>
      <c r="H17" s="533" t="s">
        <v>468</v>
      </c>
      <c r="I17" s="534" t="str">
        <f>IF(AND($C$7=1,$C$6+$C$8+$C$5=0,$C$9=2),"ДА","НЕТ")</f>
        <v>НЕТ</v>
      </c>
      <c r="J17" s="427"/>
      <c r="K17" s="571">
        <f t="shared" si="0"/>
        <v>0</v>
      </c>
    </row>
    <row r="18" spans="1:11" ht="12.75" thickBot="1">
      <c r="A18" s="501"/>
      <c r="B18" s="732" t="s">
        <v>582</v>
      </c>
      <c r="C18" s="662">
        <v>0</v>
      </c>
      <c r="D18" s="1097" t="s">
        <v>620</v>
      </c>
      <c r="E18" s="1098"/>
      <c r="F18" s="733"/>
      <c r="G18" s="501"/>
      <c r="H18" s="660"/>
      <c r="I18" s="661"/>
      <c r="J18" s="734"/>
      <c r="K18" s="432"/>
    </row>
    <row r="19" spans="1:11" ht="12">
      <c r="A19" s="501"/>
      <c r="B19" s="503" t="s">
        <v>205</v>
      </c>
      <c r="C19" s="560">
        <v>0</v>
      </c>
      <c r="D19" s="1058" t="s">
        <v>766</v>
      </c>
      <c r="E19" s="1059"/>
      <c r="F19" s="1060"/>
      <c r="G19" s="501"/>
      <c r="H19" s="660"/>
      <c r="I19" s="661"/>
      <c r="J19" s="734"/>
      <c r="K19" s="432"/>
    </row>
    <row r="20" spans="1:11" ht="12">
      <c r="A20" s="501"/>
      <c r="B20" s="513" t="s">
        <v>204</v>
      </c>
      <c r="C20" s="557">
        <v>0</v>
      </c>
      <c r="D20" s="1061" t="s">
        <v>767</v>
      </c>
      <c r="E20" s="1062"/>
      <c r="F20" s="1063"/>
      <c r="G20" s="501"/>
      <c r="H20" s="660"/>
      <c r="I20" s="661"/>
      <c r="J20" s="734"/>
      <c r="K20" s="432"/>
    </row>
    <row r="21" spans="1:11" ht="12.75" thickBot="1">
      <c r="A21" s="501"/>
      <c r="B21" s="508" t="s">
        <v>197</v>
      </c>
      <c r="C21" s="559">
        <v>0</v>
      </c>
      <c r="D21" s="1064" t="s">
        <v>768</v>
      </c>
      <c r="E21" s="1065"/>
      <c r="F21" s="1066"/>
      <c r="G21" s="501"/>
      <c r="H21" s="660"/>
      <c r="I21" s="661"/>
      <c r="J21" s="734"/>
      <c r="K21" s="432"/>
    </row>
    <row r="22" spans="1:11" ht="12" thickBot="1">
      <c r="A22" s="501"/>
      <c r="B22" s="735"/>
      <c r="C22" s="700"/>
      <c r="D22" s="531"/>
      <c r="E22" s="531"/>
      <c r="F22" s="537"/>
      <c r="G22" s="501"/>
      <c r="H22" s="736"/>
      <c r="I22" s="736"/>
      <c r="J22" s="736"/>
      <c r="K22" s="736"/>
    </row>
    <row r="23" spans="1:11" ht="12.75">
      <c r="A23" s="501"/>
      <c r="B23" s="540" t="s">
        <v>5</v>
      </c>
      <c r="C23" s="541" t="s">
        <v>0</v>
      </c>
      <c r="D23" s="542" t="s">
        <v>4</v>
      </c>
      <c r="E23" s="543" t="s">
        <v>8</v>
      </c>
      <c r="F23" s="535"/>
      <c r="G23" s="501"/>
      <c r="H23" s="501"/>
      <c r="I23" s="501"/>
      <c r="J23" s="501"/>
      <c r="K23" s="501"/>
    </row>
    <row r="24" spans="1:11">
      <c r="A24" s="501"/>
      <c r="B24" s="545" t="s">
        <v>685</v>
      </c>
      <c r="C24" s="437">
        <f>IF(C17=1,C4*(C10+C11),0)</f>
        <v>0</v>
      </c>
      <c r="D24" s="492"/>
      <c r="E24" s="418">
        <f>C24*D24</f>
        <v>0</v>
      </c>
      <c r="F24" s="535"/>
      <c r="G24" s="501"/>
      <c r="H24" s="501"/>
      <c r="I24" s="501"/>
      <c r="J24" s="501"/>
      <c r="K24" s="501"/>
    </row>
    <row r="25" spans="1:11">
      <c r="A25" s="501"/>
      <c r="B25" s="545" t="s">
        <v>752</v>
      </c>
      <c r="C25" s="437">
        <f>IF(C16=1,C4*(C10+C11),0)</f>
        <v>0</v>
      </c>
      <c r="D25" s="492"/>
      <c r="E25" s="418">
        <f t="shared" ref="E25:E69" si="1">C25*D25</f>
        <v>0</v>
      </c>
      <c r="F25" s="535"/>
      <c r="G25" s="501"/>
      <c r="H25" s="501"/>
      <c r="I25" s="501"/>
      <c r="J25" s="501"/>
      <c r="K25" s="501"/>
    </row>
    <row r="26" spans="1:11">
      <c r="A26" s="501"/>
      <c r="B26" s="545" t="s">
        <v>490</v>
      </c>
      <c r="C26" s="437">
        <f>(C14+C15)*C4*(C10+C11)*2</f>
        <v>0</v>
      </c>
      <c r="D26" s="492"/>
      <c r="E26" s="418">
        <f t="shared" si="1"/>
        <v>0</v>
      </c>
      <c r="F26" s="535"/>
      <c r="G26" s="501"/>
      <c r="H26" s="501"/>
      <c r="I26" s="501"/>
      <c r="J26" s="501"/>
      <c r="K26" s="501"/>
    </row>
    <row r="27" spans="1:11">
      <c r="A27" s="501"/>
      <c r="B27" s="547" t="s">
        <v>526</v>
      </c>
      <c r="C27" s="442">
        <f>IF(C13=0,(C10+C11)*2,0)</f>
        <v>0</v>
      </c>
      <c r="D27" s="449"/>
      <c r="E27" s="665">
        <f t="shared" si="1"/>
        <v>0</v>
      </c>
      <c r="F27" s="535"/>
      <c r="G27" s="501"/>
      <c r="H27" s="501"/>
      <c r="I27" s="501"/>
      <c r="J27" s="501"/>
      <c r="K27" s="501"/>
    </row>
    <row r="28" spans="1:11">
      <c r="A28" s="501"/>
      <c r="B28" s="547" t="s">
        <v>604</v>
      </c>
      <c r="C28" s="442">
        <f>IF(C13=1,(C10+C11)*2,0)</f>
        <v>0</v>
      </c>
      <c r="D28" s="449"/>
      <c r="E28" s="665">
        <f t="shared" si="1"/>
        <v>0</v>
      </c>
      <c r="F28" s="535"/>
      <c r="G28" s="501"/>
      <c r="H28" s="501"/>
      <c r="I28" s="501"/>
      <c r="J28" s="501"/>
      <c r="K28" s="501"/>
    </row>
    <row r="29" spans="1:11">
      <c r="A29" s="501"/>
      <c r="B29" s="547" t="s">
        <v>583</v>
      </c>
      <c r="C29" s="442">
        <f>IF(C13=0,(C4-1+C18)*(C10+C11),0)</f>
        <v>0</v>
      </c>
      <c r="D29" s="449"/>
      <c r="E29" s="665">
        <f t="shared" si="1"/>
        <v>0</v>
      </c>
      <c r="F29" s="535"/>
      <c r="G29" s="501"/>
      <c r="H29" s="501"/>
      <c r="I29" s="501"/>
      <c r="J29" s="501"/>
      <c r="K29" s="501"/>
    </row>
    <row r="30" spans="1:11">
      <c r="A30" s="501"/>
      <c r="B30" s="547" t="s">
        <v>622</v>
      </c>
      <c r="C30" s="442">
        <f>IF(C13=1,(C4-1+C18)*(C10+C11),0)</f>
        <v>0</v>
      </c>
      <c r="D30" s="449"/>
      <c r="E30" s="665">
        <f t="shared" si="1"/>
        <v>0</v>
      </c>
      <c r="F30" s="535"/>
      <c r="G30" s="501"/>
      <c r="H30" s="501"/>
      <c r="I30" s="501"/>
      <c r="J30" s="501"/>
      <c r="K30" s="501"/>
    </row>
    <row r="31" spans="1:11">
      <c r="A31" s="501"/>
      <c r="B31" s="547" t="s">
        <v>687</v>
      </c>
      <c r="C31" s="442">
        <f>IF(AND(C12=0,C13=0),(C10+C11)*2,0)</f>
        <v>0</v>
      </c>
      <c r="D31" s="449"/>
      <c r="E31" s="665">
        <f t="shared" si="1"/>
        <v>0</v>
      </c>
      <c r="F31" s="535"/>
      <c r="G31" s="501"/>
      <c r="H31" s="501"/>
      <c r="I31" s="501"/>
      <c r="J31" s="501"/>
      <c r="K31" s="501"/>
    </row>
    <row r="32" spans="1:11">
      <c r="A32" s="501"/>
      <c r="B32" s="547" t="s">
        <v>689</v>
      </c>
      <c r="C32" s="442">
        <f>IF(AND(C12=0,C13=1),(C10+C11)*2,0)</f>
        <v>0</v>
      </c>
      <c r="D32" s="449"/>
      <c r="E32" s="665">
        <f t="shared" si="1"/>
        <v>0</v>
      </c>
      <c r="F32" s="535"/>
      <c r="G32" s="501"/>
      <c r="H32" s="501"/>
      <c r="I32" s="501"/>
      <c r="J32" s="501"/>
      <c r="K32" s="501"/>
    </row>
    <row r="33" spans="1:11">
      <c r="A33" s="501"/>
      <c r="B33" s="547" t="s">
        <v>689</v>
      </c>
      <c r="C33" s="442">
        <f>IF(AND(C12=1,C13=0),(C10+C11)*2,0)</f>
        <v>0</v>
      </c>
      <c r="D33" s="449"/>
      <c r="E33" s="665">
        <f t="shared" si="1"/>
        <v>0</v>
      </c>
      <c r="F33" s="535"/>
      <c r="G33" s="501"/>
      <c r="H33" s="501"/>
      <c r="I33" s="501"/>
      <c r="J33" s="501"/>
      <c r="K33" s="501"/>
    </row>
    <row r="34" spans="1:11">
      <c r="A34" s="501"/>
      <c r="B34" s="547" t="s">
        <v>694</v>
      </c>
      <c r="C34" s="442">
        <f>IF(AND(C12=1,C13=1),(C10+C11)*2,0)</f>
        <v>0</v>
      </c>
      <c r="D34" s="449"/>
      <c r="E34" s="665">
        <f t="shared" si="1"/>
        <v>0</v>
      </c>
      <c r="F34" s="535"/>
      <c r="G34" s="501"/>
      <c r="H34" s="501"/>
      <c r="I34" s="501"/>
      <c r="J34" s="501"/>
      <c r="K34" s="501"/>
    </row>
    <row r="35" spans="1:11">
      <c r="A35" s="501"/>
      <c r="B35" s="545" t="s">
        <v>553</v>
      </c>
      <c r="C35" s="437">
        <f>C16*C2*(C10+C11)</f>
        <v>0</v>
      </c>
      <c r="D35" s="492"/>
      <c r="E35" s="665">
        <f t="shared" si="1"/>
        <v>0</v>
      </c>
      <c r="F35" s="535"/>
      <c r="G35" s="501"/>
      <c r="H35" s="501"/>
      <c r="I35" s="501"/>
      <c r="J35" s="501"/>
      <c r="K35" s="501"/>
    </row>
    <row r="36" spans="1:11">
      <c r="A36" s="501"/>
      <c r="B36" s="545" t="s">
        <v>553</v>
      </c>
      <c r="C36" s="437">
        <f>C2*C10</f>
        <v>0</v>
      </c>
      <c r="D36" s="492"/>
      <c r="E36" s="665">
        <f t="shared" si="1"/>
        <v>0</v>
      </c>
      <c r="F36" s="535"/>
      <c r="G36" s="501"/>
      <c r="H36" s="501"/>
      <c r="I36" s="501"/>
      <c r="J36" s="501"/>
      <c r="K36" s="501"/>
    </row>
    <row r="37" spans="1:11">
      <c r="A37" s="501"/>
      <c r="B37" s="545" t="s">
        <v>441</v>
      </c>
      <c r="C37" s="437">
        <f>C15*C2*2*(C10+C11)</f>
        <v>0</v>
      </c>
      <c r="D37" s="492"/>
      <c r="E37" s="665">
        <f t="shared" si="1"/>
        <v>0</v>
      </c>
      <c r="F37" s="440"/>
      <c r="G37" s="501"/>
      <c r="H37" s="501"/>
      <c r="I37" s="501"/>
      <c r="J37" s="501"/>
      <c r="K37" s="501"/>
    </row>
    <row r="38" spans="1:11">
      <c r="A38" s="501"/>
      <c r="B38" s="545" t="s">
        <v>559</v>
      </c>
      <c r="C38" s="437">
        <f>EVEN(ROUNDDOWN(IF(C12=1,(C12*C2*(C10+C11))/0.5,0),0))</f>
        <v>0</v>
      </c>
      <c r="D38" s="492"/>
      <c r="E38" s="665">
        <f t="shared" si="1"/>
        <v>0</v>
      </c>
      <c r="F38" s="535"/>
      <c r="G38" s="501"/>
      <c r="H38" s="501"/>
      <c r="I38" s="501"/>
      <c r="J38" s="501"/>
      <c r="K38" s="501"/>
    </row>
    <row r="39" spans="1:11">
      <c r="A39" s="501"/>
      <c r="B39" s="547" t="s">
        <v>446</v>
      </c>
      <c r="C39" s="442">
        <f>(C27+C28+C29+C30)*2</f>
        <v>0</v>
      </c>
      <c r="D39" s="649"/>
      <c r="E39" s="665">
        <f t="shared" si="1"/>
        <v>0</v>
      </c>
      <c r="F39" s="535"/>
      <c r="G39" s="501"/>
      <c r="H39" s="501"/>
      <c r="I39" s="501"/>
      <c r="J39" s="501"/>
      <c r="K39" s="501"/>
    </row>
    <row r="40" spans="1:11">
      <c r="A40" s="501"/>
      <c r="B40" s="547" t="s">
        <v>124</v>
      </c>
      <c r="C40" s="442">
        <f>C17*C2*(C10+C11)</f>
        <v>0</v>
      </c>
      <c r="D40" s="449"/>
      <c r="E40" s="665">
        <f t="shared" si="1"/>
        <v>0</v>
      </c>
      <c r="F40" s="535"/>
      <c r="G40" s="501"/>
      <c r="H40" s="501"/>
      <c r="I40" s="501"/>
      <c r="J40" s="501"/>
      <c r="K40" s="501"/>
    </row>
    <row r="41" spans="1:11">
      <c r="A41" s="501"/>
      <c r="B41" s="547" t="s">
        <v>696</v>
      </c>
      <c r="C41" s="442">
        <f>C17*C2*(C10+C11)</f>
        <v>0</v>
      </c>
      <c r="D41" s="449"/>
      <c r="E41" s="665">
        <f t="shared" si="1"/>
        <v>0</v>
      </c>
      <c r="F41" s="535"/>
      <c r="G41" s="501"/>
      <c r="H41" s="501"/>
      <c r="I41" s="501"/>
      <c r="J41" s="501"/>
      <c r="K41" s="501"/>
    </row>
    <row r="42" spans="1:11">
      <c r="A42" s="501"/>
      <c r="B42" s="547" t="s">
        <v>546</v>
      </c>
      <c r="C42" s="442">
        <f>C16*C2*(C10+C11)</f>
        <v>0</v>
      </c>
      <c r="D42" s="449"/>
      <c r="E42" s="665">
        <f t="shared" si="1"/>
        <v>0</v>
      </c>
      <c r="F42" s="535"/>
      <c r="G42" s="501"/>
      <c r="H42" s="501"/>
      <c r="I42" s="501"/>
      <c r="J42" s="501"/>
      <c r="K42" s="501"/>
    </row>
    <row r="43" spans="1:11">
      <c r="A43" s="501"/>
      <c r="B43" s="547" t="s">
        <v>442</v>
      </c>
      <c r="C43" s="442">
        <f>C14*C2*(C10+C11)</f>
        <v>0</v>
      </c>
      <c r="D43" s="649"/>
      <c r="E43" s="665">
        <f t="shared" si="1"/>
        <v>0</v>
      </c>
      <c r="F43" s="440"/>
      <c r="G43" s="501"/>
      <c r="H43" s="501"/>
      <c r="I43" s="501"/>
      <c r="J43" s="501"/>
      <c r="K43" s="501"/>
    </row>
    <row r="44" spans="1:11">
      <c r="A44" s="501"/>
      <c r="B44" s="547" t="s">
        <v>443</v>
      </c>
      <c r="C44" s="442">
        <f>C15*C2*(C10+C11)</f>
        <v>0</v>
      </c>
      <c r="D44" s="649"/>
      <c r="E44" s="665">
        <f t="shared" si="1"/>
        <v>0</v>
      </c>
      <c r="F44" s="440"/>
      <c r="G44" s="501"/>
      <c r="H44" s="501"/>
      <c r="I44" s="501"/>
      <c r="J44" s="501"/>
      <c r="K44" s="501"/>
    </row>
    <row r="45" spans="1:11">
      <c r="A45" s="501"/>
      <c r="B45" s="545" t="s">
        <v>530</v>
      </c>
      <c r="C45" s="437">
        <f>C2*C10</f>
        <v>0</v>
      </c>
      <c r="D45" s="492"/>
      <c r="E45" s="665">
        <f t="shared" si="1"/>
        <v>0</v>
      </c>
      <c r="F45" s="535"/>
      <c r="G45" s="501"/>
      <c r="H45" s="501"/>
      <c r="I45" s="501"/>
      <c r="J45" s="501"/>
      <c r="K45" s="501"/>
    </row>
    <row r="46" spans="1:11">
      <c r="A46" s="501"/>
      <c r="B46" s="545" t="s">
        <v>529</v>
      </c>
      <c r="C46" s="437">
        <f>C2*C11</f>
        <v>0</v>
      </c>
      <c r="D46" s="492"/>
      <c r="E46" s="665">
        <f>C46*D46</f>
        <v>0</v>
      </c>
      <c r="F46" s="535"/>
      <c r="G46" s="501"/>
      <c r="H46" s="501"/>
      <c r="I46" s="501"/>
      <c r="J46" s="501"/>
      <c r="K46" s="501"/>
    </row>
    <row r="47" spans="1:11">
      <c r="A47" s="501"/>
      <c r="B47" s="545" t="s">
        <v>444</v>
      </c>
      <c r="C47" s="437">
        <f>(C11+C10)*C12*C2</f>
        <v>0</v>
      </c>
      <c r="D47" s="449"/>
      <c r="E47" s="439">
        <f>C47*D47</f>
        <v>0</v>
      </c>
      <c r="F47" s="535"/>
      <c r="G47" s="501"/>
      <c r="H47" s="501"/>
      <c r="I47" s="501"/>
      <c r="J47" s="501"/>
      <c r="K47" s="501"/>
    </row>
    <row r="48" spans="1:11">
      <c r="A48" s="501"/>
      <c r="B48" s="545" t="s">
        <v>804</v>
      </c>
      <c r="C48" s="437">
        <f>C11*((C4*2)-2)</f>
        <v>0</v>
      </c>
      <c r="D48" s="449"/>
      <c r="E48" s="439">
        <v>0</v>
      </c>
      <c r="F48" s="535"/>
      <c r="G48" s="501"/>
      <c r="H48" s="501"/>
      <c r="I48" s="501"/>
      <c r="J48" s="501"/>
      <c r="K48" s="501"/>
    </row>
    <row r="49" spans="1:11">
      <c r="A49" s="501"/>
      <c r="B49" s="547" t="s">
        <v>445</v>
      </c>
      <c r="C49" s="442">
        <f>C10</f>
        <v>0</v>
      </c>
      <c r="D49" s="449"/>
      <c r="E49" s="665">
        <f t="shared" si="1"/>
        <v>0</v>
      </c>
      <c r="F49" s="535"/>
      <c r="G49" s="501"/>
      <c r="H49" s="501"/>
      <c r="I49" s="501"/>
      <c r="J49" s="501"/>
      <c r="K49" s="501"/>
    </row>
    <row r="50" spans="1:11">
      <c r="A50" s="501"/>
      <c r="B50" s="547" t="s">
        <v>549</v>
      </c>
      <c r="C50" s="442">
        <f>C11</f>
        <v>0</v>
      </c>
      <c r="D50" s="449"/>
      <c r="E50" s="665">
        <f>C50*D50</f>
        <v>0</v>
      </c>
      <c r="F50" s="535"/>
      <c r="G50" s="501"/>
      <c r="H50" s="501"/>
      <c r="I50" s="501"/>
      <c r="J50" s="501"/>
      <c r="K50" s="501"/>
    </row>
    <row r="51" spans="1:11">
      <c r="A51" s="501"/>
      <c r="B51" s="547" t="s">
        <v>584</v>
      </c>
      <c r="C51" s="442">
        <f>(C4-1)*(C10+C11)</f>
        <v>0</v>
      </c>
      <c r="D51" s="449"/>
      <c r="E51" s="665">
        <f t="shared" si="1"/>
        <v>0</v>
      </c>
      <c r="F51" s="535"/>
      <c r="G51" s="501"/>
      <c r="H51" s="501"/>
      <c r="I51" s="501"/>
      <c r="J51" s="501"/>
      <c r="K51" s="501"/>
    </row>
    <row r="52" spans="1:11">
      <c r="A52" s="501"/>
      <c r="B52" s="547" t="s">
        <v>585</v>
      </c>
      <c r="C52" s="442">
        <f>(C4-1)*(C10+C11)</f>
        <v>0</v>
      </c>
      <c r="D52" s="449"/>
      <c r="E52" s="665">
        <f t="shared" si="1"/>
        <v>0</v>
      </c>
      <c r="F52" s="535"/>
      <c r="G52" s="501"/>
      <c r="H52" s="501"/>
      <c r="I52" s="501"/>
      <c r="J52" s="501"/>
      <c r="K52" s="501"/>
    </row>
    <row r="53" spans="1:11">
      <c r="A53" s="501"/>
      <c r="B53" s="547" t="s">
        <v>558</v>
      </c>
      <c r="C53" s="442">
        <f>C10+C11</f>
        <v>0</v>
      </c>
      <c r="D53" s="449"/>
      <c r="E53" s="665">
        <f t="shared" si="1"/>
        <v>0</v>
      </c>
      <c r="F53" s="535"/>
      <c r="G53" s="501"/>
      <c r="H53" s="501"/>
      <c r="I53" s="501"/>
      <c r="J53" s="501"/>
      <c r="K53" s="501"/>
    </row>
    <row r="54" spans="1:11">
      <c r="A54" s="501"/>
      <c r="B54" s="548" t="s">
        <v>586</v>
      </c>
      <c r="C54" s="495">
        <f>(C4-1+C18)*(C10+C11)</f>
        <v>0</v>
      </c>
      <c r="D54" s="449"/>
      <c r="E54" s="665">
        <f t="shared" si="1"/>
        <v>0</v>
      </c>
      <c r="F54" s="535"/>
      <c r="G54" s="619"/>
      <c r="H54" s="501"/>
      <c r="I54" s="501"/>
      <c r="J54" s="501"/>
      <c r="K54" s="501"/>
    </row>
    <row r="55" spans="1:11" ht="11.25" customHeight="1">
      <c r="A55" s="501"/>
      <c r="B55" s="548" t="s">
        <v>587</v>
      </c>
      <c r="C55" s="495">
        <f>(C4-1+C18)*(C10+C11)</f>
        <v>0</v>
      </c>
      <c r="D55" s="449"/>
      <c r="E55" s="665">
        <f t="shared" si="1"/>
        <v>0</v>
      </c>
      <c r="F55" s="535"/>
      <c r="G55" s="501"/>
      <c r="H55" s="501"/>
      <c r="I55" s="501"/>
      <c r="J55" s="501"/>
      <c r="K55" s="501"/>
    </row>
    <row r="56" spans="1:11" ht="11.25" customHeight="1">
      <c r="A56" s="501"/>
      <c r="B56" s="548" t="s">
        <v>588</v>
      </c>
      <c r="C56" s="495">
        <f>C18*(C10+C11)</f>
        <v>0</v>
      </c>
      <c r="D56" s="449"/>
      <c r="E56" s="665">
        <f t="shared" si="1"/>
        <v>0</v>
      </c>
      <c r="F56" s="535"/>
      <c r="G56" s="501"/>
      <c r="H56" s="501"/>
      <c r="I56" s="501"/>
      <c r="J56" s="501"/>
      <c r="K56" s="501"/>
    </row>
    <row r="57" spans="1:11" ht="11.25" customHeight="1">
      <c r="A57" s="501"/>
      <c r="B57" s="548" t="s">
        <v>533</v>
      </c>
      <c r="C57" s="495">
        <f>(C5+C6)*C10</f>
        <v>0</v>
      </c>
      <c r="D57" s="449"/>
      <c r="E57" s="665">
        <f t="shared" si="1"/>
        <v>0</v>
      </c>
      <c r="F57" s="535"/>
      <c r="G57" s="501"/>
      <c r="H57" s="501"/>
      <c r="I57" s="501"/>
      <c r="J57" s="501"/>
      <c r="K57" s="501"/>
    </row>
    <row r="58" spans="1:11" ht="11.25" customHeight="1">
      <c r="A58" s="501"/>
      <c r="B58" s="548" t="s">
        <v>453</v>
      </c>
      <c r="C58" s="495">
        <f>C6*C10</f>
        <v>0</v>
      </c>
      <c r="D58" s="449"/>
      <c r="E58" s="665">
        <f t="shared" si="1"/>
        <v>0</v>
      </c>
      <c r="F58" s="535"/>
      <c r="G58" s="501"/>
      <c r="H58" s="501"/>
      <c r="I58" s="501"/>
      <c r="J58" s="501"/>
      <c r="K58" s="501"/>
    </row>
    <row r="59" spans="1:11" ht="11.25" customHeight="1">
      <c r="A59" s="501"/>
      <c r="B59" s="548" t="s">
        <v>575</v>
      </c>
      <c r="C59" s="495">
        <f>C6*C10</f>
        <v>0</v>
      </c>
      <c r="D59" s="449"/>
      <c r="E59" s="665">
        <f t="shared" si="1"/>
        <v>0</v>
      </c>
      <c r="F59" s="535"/>
      <c r="G59" s="501"/>
      <c r="H59" s="501"/>
      <c r="I59" s="501"/>
      <c r="J59" s="501"/>
      <c r="K59" s="501"/>
    </row>
    <row r="60" spans="1:11" ht="11.25" customHeight="1">
      <c r="A60" s="501"/>
      <c r="B60" s="548" t="s">
        <v>458</v>
      </c>
      <c r="C60" s="495">
        <f>C5*C10</f>
        <v>0</v>
      </c>
      <c r="D60" s="449"/>
      <c r="E60" s="665">
        <f t="shared" si="1"/>
        <v>0</v>
      </c>
      <c r="F60" s="535"/>
      <c r="G60" s="501"/>
      <c r="H60" s="501"/>
      <c r="I60" s="501"/>
      <c r="J60" s="501"/>
      <c r="K60" s="501"/>
    </row>
    <row r="61" spans="1:11" ht="11.25" customHeight="1">
      <c r="A61" s="501"/>
      <c r="B61" s="548" t="s">
        <v>456</v>
      </c>
      <c r="C61" s="495">
        <f>C11*C8</f>
        <v>0</v>
      </c>
      <c r="D61" s="449"/>
      <c r="E61" s="496">
        <f t="shared" si="1"/>
        <v>0</v>
      </c>
      <c r="F61" s="535"/>
      <c r="G61" s="501"/>
      <c r="H61" s="501"/>
      <c r="I61" s="501"/>
      <c r="J61" s="501"/>
      <c r="K61" s="501"/>
    </row>
    <row r="62" spans="1:11" ht="11.25" customHeight="1">
      <c r="A62" s="501"/>
      <c r="B62" s="548" t="s">
        <v>465</v>
      </c>
      <c r="C62" s="495">
        <f>C11*C7</f>
        <v>0</v>
      </c>
      <c r="D62" s="449"/>
      <c r="E62" s="496">
        <f t="shared" si="1"/>
        <v>0</v>
      </c>
      <c r="F62" s="535"/>
      <c r="G62" s="501"/>
      <c r="H62" s="501"/>
      <c r="I62" s="501"/>
      <c r="J62" s="501"/>
      <c r="K62" s="501"/>
    </row>
    <row r="63" spans="1:11" ht="11.25" customHeight="1">
      <c r="A63" s="501"/>
      <c r="B63" s="548" t="s">
        <v>466</v>
      </c>
      <c r="C63" s="495">
        <f>C11*C7</f>
        <v>0</v>
      </c>
      <c r="D63" s="449"/>
      <c r="E63" s="496">
        <f t="shared" si="1"/>
        <v>0</v>
      </c>
      <c r="F63" s="535"/>
      <c r="G63" s="501"/>
      <c r="H63" s="501"/>
      <c r="I63" s="501"/>
      <c r="J63" s="501"/>
      <c r="K63" s="501"/>
    </row>
    <row r="64" spans="1:11" ht="11.25" customHeight="1">
      <c r="A64" s="501"/>
      <c r="B64" s="548" t="s">
        <v>455</v>
      </c>
      <c r="C64" s="495">
        <f>C11*C8</f>
        <v>0</v>
      </c>
      <c r="D64" s="449"/>
      <c r="E64" s="496">
        <f t="shared" si="1"/>
        <v>0</v>
      </c>
      <c r="F64" s="535"/>
      <c r="G64" s="501"/>
      <c r="H64" s="501"/>
      <c r="I64" s="501"/>
      <c r="J64" s="501"/>
      <c r="K64" s="501"/>
    </row>
    <row r="65" spans="1:11" ht="11.25" customHeight="1">
      <c r="A65" s="501"/>
      <c r="B65" s="547" t="s">
        <v>560</v>
      </c>
      <c r="C65" s="442">
        <f>C11*C2</f>
        <v>0</v>
      </c>
      <c r="D65" s="449"/>
      <c r="E65" s="439">
        <f t="shared" si="1"/>
        <v>0</v>
      </c>
      <c r="F65" s="535"/>
      <c r="G65" s="501"/>
      <c r="H65" s="501"/>
      <c r="I65" s="501"/>
      <c r="J65" s="501"/>
      <c r="K65" s="501"/>
    </row>
    <row r="66" spans="1:11" ht="11.25" customHeight="1">
      <c r="A66" s="501"/>
      <c r="B66" s="621" t="s">
        <v>203</v>
      </c>
      <c r="C66" s="602">
        <f>C20</f>
        <v>0</v>
      </c>
      <c r="D66" s="618"/>
      <c r="E66" s="496">
        <f t="shared" si="1"/>
        <v>0</v>
      </c>
      <c r="F66" s="535"/>
      <c r="G66" s="501"/>
      <c r="H66" s="501"/>
      <c r="I66" s="501"/>
      <c r="J66" s="501"/>
      <c r="K66" s="501"/>
    </row>
    <row r="67" spans="1:11" ht="11.25" customHeight="1">
      <c r="A67" s="501"/>
      <c r="B67" s="621" t="s">
        <v>206</v>
      </c>
      <c r="C67" s="602">
        <f>C19</f>
        <v>0</v>
      </c>
      <c r="D67" s="618"/>
      <c r="E67" s="496">
        <f t="shared" si="1"/>
        <v>0</v>
      </c>
      <c r="F67" s="535"/>
      <c r="G67" s="501"/>
      <c r="H67" s="501"/>
      <c r="I67" s="501"/>
      <c r="J67" s="501"/>
      <c r="K67" s="501"/>
    </row>
    <row r="68" spans="1:11" ht="11.25" customHeight="1">
      <c r="A68" s="501"/>
      <c r="B68" s="621" t="s">
        <v>769</v>
      </c>
      <c r="C68" s="602">
        <f>C21</f>
        <v>0</v>
      </c>
      <c r="D68" s="618"/>
      <c r="E68" s="496">
        <f t="shared" si="1"/>
        <v>0</v>
      </c>
      <c r="F68" s="535"/>
      <c r="G68" s="501"/>
      <c r="H68" s="501"/>
      <c r="I68" s="501"/>
      <c r="J68" s="501"/>
      <c r="K68" s="501"/>
    </row>
    <row r="69" spans="1:11" ht="11.25" customHeight="1" thickBot="1">
      <c r="A69" s="501"/>
      <c r="B69" s="550" t="s">
        <v>459</v>
      </c>
      <c r="C69" s="498">
        <f>C5*C10</f>
        <v>0</v>
      </c>
      <c r="D69" s="569"/>
      <c r="E69" s="666">
        <f t="shared" si="1"/>
        <v>0</v>
      </c>
      <c r="F69" s="549"/>
      <c r="G69" s="501"/>
      <c r="H69" s="501"/>
      <c r="I69" s="501"/>
      <c r="J69" s="501"/>
      <c r="K69" s="501"/>
    </row>
    <row r="70" spans="1:11" ht="11.25" customHeight="1" thickBot="1">
      <c r="A70" s="501"/>
      <c r="B70" s="535"/>
      <c r="C70" s="535"/>
      <c r="D70" s="551" t="s">
        <v>9</v>
      </c>
      <c r="E70" s="737">
        <f>SUMIF(E24:E69,"&gt;0",E24:E69)</f>
        <v>0</v>
      </c>
      <c r="F70" s="738"/>
      <c r="G70" s="501"/>
      <c r="H70" s="501"/>
      <c r="I70" s="501"/>
      <c r="J70" s="501"/>
      <c r="K70" s="501"/>
    </row>
    <row r="71" spans="1:11" ht="11.25" customHeight="1">
      <c r="A71" s="501"/>
      <c r="B71" s="535"/>
      <c r="C71" s="535"/>
      <c r="D71" s="535"/>
      <c r="E71" s="535"/>
      <c r="F71" s="738"/>
      <c r="G71" s="501"/>
      <c r="H71" s="501"/>
      <c r="I71" s="501"/>
      <c r="J71" s="501"/>
      <c r="K71" s="501"/>
    </row>
    <row r="72" spans="1:11" ht="11.25" customHeight="1">
      <c r="A72" s="501"/>
      <c r="B72" s="535"/>
      <c r="C72" s="535"/>
      <c r="D72" s="535"/>
      <c r="E72" s="535"/>
      <c r="F72" s="738"/>
      <c r="G72" s="501"/>
      <c r="H72" s="501"/>
      <c r="I72" s="501"/>
      <c r="J72" s="501"/>
      <c r="K72" s="501"/>
    </row>
    <row r="73" spans="1:11" ht="11.25" customHeight="1">
      <c r="A73" s="501"/>
      <c r="B73" s="501"/>
      <c r="C73" s="501"/>
      <c r="D73" s="501"/>
      <c r="E73" s="501"/>
      <c r="F73" s="739"/>
      <c r="G73" s="501"/>
      <c r="H73" s="501"/>
      <c r="I73" s="501"/>
      <c r="J73" s="501"/>
      <c r="K73" s="501"/>
    </row>
    <row r="74" spans="1:11" ht="11.25" customHeight="1">
      <c r="A74" s="501"/>
      <c r="B74" s="501"/>
      <c r="C74" s="501"/>
      <c r="D74" s="501"/>
      <c r="E74" s="501"/>
      <c r="F74" s="739"/>
      <c r="G74" s="501"/>
      <c r="H74" s="501"/>
      <c r="I74" s="501"/>
      <c r="J74" s="501"/>
      <c r="K74" s="501"/>
    </row>
    <row r="75" spans="1:11">
      <c r="A75" s="501"/>
      <c r="B75" s="501"/>
      <c r="C75" s="501"/>
      <c r="D75" s="501"/>
      <c r="E75" s="501"/>
      <c r="F75" s="739"/>
      <c r="G75" s="501"/>
      <c r="H75" s="501"/>
      <c r="I75" s="501"/>
      <c r="J75" s="501"/>
      <c r="K75" s="501"/>
    </row>
    <row r="76" spans="1:11">
      <c r="A76" s="501"/>
      <c r="B76" s="501"/>
      <c r="C76" s="501"/>
      <c r="D76" s="501"/>
      <c r="E76" s="501"/>
      <c r="F76" s="739"/>
      <c r="G76" s="501"/>
      <c r="H76" s="501"/>
      <c r="I76" s="501"/>
      <c r="J76" s="501"/>
      <c r="K76" s="501"/>
    </row>
    <row r="77" spans="1:11">
      <c r="A77" s="501"/>
      <c r="B77" s="501"/>
      <c r="C77" s="501"/>
      <c r="D77" s="501"/>
      <c r="E77" s="501"/>
      <c r="F77" s="739"/>
      <c r="G77" s="501"/>
      <c r="H77" s="501"/>
      <c r="I77" s="501"/>
      <c r="J77" s="501"/>
      <c r="K77" s="501"/>
    </row>
    <row r="78" spans="1:11" ht="12.75" customHeight="1">
      <c r="A78" s="501"/>
      <c r="B78" s="501"/>
      <c r="C78" s="501"/>
      <c r="D78" s="501"/>
      <c r="E78" s="501"/>
      <c r="F78" s="739"/>
      <c r="G78" s="501"/>
      <c r="H78" s="501"/>
      <c r="I78" s="501"/>
      <c r="J78" s="501"/>
      <c r="K78" s="501"/>
    </row>
  </sheetData>
  <sheetProtection algorithmName="SHA-512" hashValue="PWU9q6BAaEplQlL5XgIaANFE8aexlGGEAOEVZdqlXDiL9b5bE9dup8ePMxti61yXElBr1cw6jtqn0HY5PxUrhg==" saltValue="9T9bCfeJXJoixoxsn/tHZw==" spinCount="100000" sheet="1"/>
  <mergeCells count="11">
    <mergeCell ref="B1:E1"/>
    <mergeCell ref="D18:E18"/>
    <mergeCell ref="D2:F3"/>
    <mergeCell ref="D4:F4"/>
    <mergeCell ref="F5:F8"/>
    <mergeCell ref="D19:F19"/>
    <mergeCell ref="D20:F20"/>
    <mergeCell ref="D21:F21"/>
    <mergeCell ref="D10:F11"/>
    <mergeCell ref="F14:F17"/>
    <mergeCell ref="F12:F13"/>
  </mergeCells>
  <conditionalFormatting sqref="C9">
    <cfRule type="cellIs" dxfId="345" priority="30" operator="greaterThan">
      <formula>0</formula>
    </cfRule>
  </conditionalFormatting>
  <conditionalFormatting sqref="C9">
    <cfRule type="cellIs" dxfId="344" priority="31" operator="greaterThan">
      <formula>0</formula>
    </cfRule>
  </conditionalFormatting>
  <conditionalFormatting sqref="I18:I21">
    <cfRule type="cellIs" dxfId="343" priority="22" operator="equal">
      <formula>"ДА"</formula>
    </cfRule>
    <cfRule type="cellIs" dxfId="342" priority="23" operator="equal">
      <formula>"НЕТ"</formula>
    </cfRule>
  </conditionalFormatting>
  <conditionalFormatting sqref="I18:I21">
    <cfRule type="colorScale" priority="3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18:K21">
    <cfRule type="cellIs" dxfId="341" priority="33" operator="greaterThan">
      <formula>0</formula>
    </cfRule>
  </conditionalFormatting>
  <conditionalFormatting sqref="C62:E63">
    <cfRule type="cellIs" dxfId="340" priority="16" operator="greaterThan">
      <formula>0</formula>
    </cfRule>
  </conditionalFormatting>
  <conditionalFormatting sqref="C61:E61">
    <cfRule type="cellIs" dxfId="339" priority="17" operator="greaterThan">
      <formula>0</formula>
    </cfRule>
  </conditionalFormatting>
  <conditionalFormatting sqref="J3:K17">
    <cfRule type="cellIs" dxfId="338" priority="8" operator="greaterThan">
      <formula>0</formula>
    </cfRule>
    <cfRule type="cellIs" dxfId="337" priority="11" operator="greaterThan">
      <formula>0</formula>
    </cfRule>
  </conditionalFormatting>
  <conditionalFormatting sqref="C64:E64">
    <cfRule type="cellIs" dxfId="336" priority="15" operator="greaterThan">
      <formula>0</formula>
    </cfRule>
  </conditionalFormatting>
  <conditionalFormatting sqref="I3:I17">
    <cfRule type="cellIs" dxfId="335" priority="12" operator="equal">
      <formula>"НЕТ"</formula>
    </cfRule>
    <cfRule type="cellIs" dxfId="334" priority="34" operator="equal">
      <formula>"ДА"</formula>
    </cfRule>
  </conditionalFormatting>
  <conditionalFormatting sqref="I3:I17">
    <cfRule type="colorScale" priority="3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2:C18">
    <cfRule type="cellIs" dxfId="333" priority="10" operator="greaterThan">
      <formula>0</formula>
    </cfRule>
  </conditionalFormatting>
  <conditionalFormatting sqref="C24:E46 C69:E69 C49:E64">
    <cfRule type="cellIs" dxfId="332" priority="5" operator="greaterThan">
      <formula>0</formula>
    </cfRule>
    <cfRule type="cellIs" dxfId="331" priority="6" operator="greaterThan">
      <formula>0</formula>
    </cfRule>
    <cfRule type="cellIs" dxfId="330" priority="9" operator="greaterThan">
      <formula>0</formula>
    </cfRule>
  </conditionalFormatting>
  <conditionalFormatting sqref="E70">
    <cfRule type="cellIs" dxfId="329" priority="7" operator="greaterThan">
      <formula>0</formula>
    </cfRule>
  </conditionalFormatting>
  <conditionalFormatting sqref="C65:E65">
    <cfRule type="cellIs" dxfId="328" priority="4" operator="greaterThan">
      <formula>0</formula>
    </cfRule>
  </conditionalFormatting>
  <conditionalFormatting sqref="C47:E48">
    <cfRule type="cellIs" dxfId="327" priority="3" operator="greaterThan">
      <formula>0</formula>
    </cfRule>
  </conditionalFormatting>
  <conditionalFormatting sqref="C19:C21">
    <cfRule type="cellIs" dxfId="326" priority="2" operator="greaterThan">
      <formula>0</formula>
    </cfRule>
  </conditionalFormatting>
  <conditionalFormatting sqref="C66:E68">
    <cfRule type="cellIs" dxfId="32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L74"/>
  <sheetViews>
    <sheetView workbookViewId="0">
      <pane ySplit="21" topLeftCell="A22" activePane="bottomLeft" state="frozen"/>
      <selection pane="bottomLeft" activeCell="C40" sqref="C40"/>
    </sheetView>
  </sheetViews>
  <sheetFormatPr defaultRowHeight="11.25"/>
  <cols>
    <col min="2" max="2" width="54.6640625" customWidth="1"/>
    <col min="4" max="4" width="11.83203125" customWidth="1"/>
    <col min="5" max="5" width="12" customWidth="1"/>
    <col min="6" max="6" width="20.83203125" customWidth="1"/>
    <col min="7" max="7" width="3.33203125" customWidth="1"/>
    <col min="8" max="8" width="46.5" customWidth="1"/>
    <col min="9" max="9" width="4.5" customWidth="1"/>
  </cols>
  <sheetData>
    <row r="1" spans="1:12" ht="54" customHeight="1" thickBot="1">
      <c r="A1" s="501"/>
      <c r="B1" s="1102"/>
      <c r="C1" s="1103"/>
      <c r="D1" s="1103"/>
      <c r="E1" s="1103"/>
      <c r="F1" s="501"/>
      <c r="G1" s="501"/>
      <c r="H1" s="501"/>
      <c r="I1" s="501"/>
      <c r="J1" s="501"/>
      <c r="K1" s="501"/>
      <c r="L1" s="501"/>
    </row>
    <row r="2" spans="1:12" ht="12.75" customHeight="1" thickBot="1">
      <c r="A2" s="501"/>
      <c r="B2" s="503" t="s">
        <v>746</v>
      </c>
      <c r="C2" s="554">
        <v>0</v>
      </c>
      <c r="D2" s="1047" t="s">
        <v>675</v>
      </c>
      <c r="E2" s="1048"/>
      <c r="F2" s="1049"/>
      <c r="G2" s="535"/>
      <c r="H2" s="505" t="s">
        <v>565</v>
      </c>
      <c r="I2" s="506" t="s">
        <v>684</v>
      </c>
      <c r="J2" s="572" t="s">
        <v>4</v>
      </c>
      <c r="K2" s="573" t="s">
        <v>8</v>
      </c>
      <c r="L2" s="501"/>
    </row>
    <row r="3" spans="1:12" ht="12.75" thickBot="1">
      <c r="A3" s="501"/>
      <c r="B3" s="508" t="s">
        <v>747</v>
      </c>
      <c r="C3" s="555">
        <v>0</v>
      </c>
      <c r="D3" s="1050"/>
      <c r="E3" s="1051"/>
      <c r="F3" s="1052"/>
      <c r="G3" s="535"/>
      <c r="H3" s="509" t="s">
        <v>450</v>
      </c>
      <c r="I3" s="510" t="str">
        <f>IF(AND($C$6=1,$C$5+$C$7+$C$8=0,$C$9=2),"ДА","НЕТ")</f>
        <v>НЕТ</v>
      </c>
      <c r="J3" s="413"/>
      <c r="K3" s="414">
        <f>IF(I3="ДА",($C$14+$C$15)*J3,0)</f>
        <v>0</v>
      </c>
      <c r="L3" s="501"/>
    </row>
    <row r="4" spans="1:12" ht="12.75" thickBot="1">
      <c r="A4" s="501"/>
      <c r="B4" s="525" t="s">
        <v>163</v>
      </c>
      <c r="C4" s="662">
        <v>0</v>
      </c>
      <c r="D4" s="1099" t="s">
        <v>164</v>
      </c>
      <c r="E4" s="1100"/>
      <c r="F4" s="1101"/>
      <c r="G4" s="535"/>
      <c r="H4" s="512" t="s">
        <v>451</v>
      </c>
      <c r="I4" s="510" t="str">
        <f>IF(AND($C$6=1,$C$5+$C$7+$C$8=0,$C$9=2),"ДА","НЕТ")</f>
        <v>НЕТ</v>
      </c>
      <c r="J4" s="491"/>
      <c r="K4" s="414">
        <f t="shared" ref="K4:K17" si="0">IF(I4="ДА",($C$14+$C$15)*J4,0)</f>
        <v>0</v>
      </c>
      <c r="L4" s="501"/>
    </row>
    <row r="5" spans="1:12" ht="11.25" customHeight="1">
      <c r="A5" s="501"/>
      <c r="B5" s="503" t="s">
        <v>572</v>
      </c>
      <c r="C5" s="560">
        <v>0</v>
      </c>
      <c r="D5" s="516" t="s">
        <v>365</v>
      </c>
      <c r="E5" s="516" t="s">
        <v>327</v>
      </c>
      <c r="F5" s="1056" t="s">
        <v>677</v>
      </c>
      <c r="G5" s="535"/>
      <c r="H5" s="512" t="s">
        <v>452</v>
      </c>
      <c r="I5" s="510" t="str">
        <f>IF(AND($C$6=1,$C$5+$C$7+$C$8=0,$C$9=2),"ДА","НЕТ")</f>
        <v>НЕТ</v>
      </c>
      <c r="J5" s="491"/>
      <c r="K5" s="414">
        <f t="shared" si="0"/>
        <v>0</v>
      </c>
      <c r="L5" s="501"/>
    </row>
    <row r="6" spans="1:12" ht="12">
      <c r="A6" s="501"/>
      <c r="B6" s="513" t="s">
        <v>570</v>
      </c>
      <c r="C6" s="557">
        <v>0</v>
      </c>
      <c r="D6" s="520" t="s">
        <v>365</v>
      </c>
      <c r="E6" s="520" t="s">
        <v>327</v>
      </c>
      <c r="F6" s="1056"/>
      <c r="G6" s="535"/>
      <c r="H6" s="514" t="s">
        <v>454</v>
      </c>
      <c r="I6" s="510" t="str">
        <f>IF(AND($C$6=1,$C$5+$C$7+$C$8=0,$C$9=3),"ДА","НЕТ")</f>
        <v>НЕТ</v>
      </c>
      <c r="J6" s="417"/>
      <c r="K6" s="414">
        <f t="shared" si="0"/>
        <v>0</v>
      </c>
      <c r="L6" s="501"/>
    </row>
    <row r="7" spans="1:12" ht="12">
      <c r="A7" s="501"/>
      <c r="B7" s="513" t="s">
        <v>573</v>
      </c>
      <c r="C7" s="557">
        <v>0</v>
      </c>
      <c r="D7" s="520" t="s">
        <v>365</v>
      </c>
      <c r="E7" s="520" t="s">
        <v>327</v>
      </c>
      <c r="F7" s="1056"/>
      <c r="G7" s="535"/>
      <c r="H7" s="512" t="s">
        <v>569</v>
      </c>
      <c r="I7" s="510" t="str">
        <f>IF(AND($C$8=1,$C$5+$C$6+$C$7=0,$C$9=1),"ДА","НЕТ")</f>
        <v>НЕТ</v>
      </c>
      <c r="J7" s="491"/>
      <c r="K7" s="414">
        <f t="shared" si="0"/>
        <v>0</v>
      </c>
      <c r="L7" s="501"/>
    </row>
    <row r="8" spans="1:12" ht="12.75" thickBot="1">
      <c r="A8" s="501"/>
      <c r="B8" s="610" t="s">
        <v>571</v>
      </c>
      <c r="C8" s="609">
        <v>0</v>
      </c>
      <c r="D8" s="722" t="s">
        <v>365</v>
      </c>
      <c r="E8" s="612" t="s">
        <v>327</v>
      </c>
      <c r="F8" s="1057"/>
      <c r="G8" s="535"/>
      <c r="H8" s="514" t="s">
        <v>566</v>
      </c>
      <c r="I8" s="510" t="str">
        <f>IF(AND($C$8=1,$C$5+$C$6+$C$7=0,$C$9=3),"ДА","НЕТ")</f>
        <v>НЕТ</v>
      </c>
      <c r="J8" s="417"/>
      <c r="K8" s="414">
        <f t="shared" si="0"/>
        <v>0</v>
      </c>
      <c r="L8" s="501"/>
    </row>
    <row r="9" spans="1:12" ht="12.75" thickBot="1">
      <c r="A9" s="501"/>
      <c r="B9" s="525" t="s">
        <v>669</v>
      </c>
      <c r="C9" s="644">
        <v>0</v>
      </c>
      <c r="D9" s="529" t="s">
        <v>699</v>
      </c>
      <c r="E9" s="530" t="s">
        <v>700</v>
      </c>
      <c r="F9" s="532" t="s">
        <v>701</v>
      </c>
      <c r="G9" s="535"/>
      <c r="H9" s="514" t="s">
        <v>567</v>
      </c>
      <c r="I9" s="510" t="str">
        <f>IF(AND($C$8=1,$C$5+$C$6+$C$7=0,$C$9=2),"ДА","НЕТ")</f>
        <v>НЕТ</v>
      </c>
      <c r="J9" s="417"/>
      <c r="K9" s="414">
        <f t="shared" si="0"/>
        <v>0</v>
      </c>
      <c r="L9" s="501"/>
    </row>
    <row r="10" spans="1:12" ht="12" customHeight="1">
      <c r="A10" s="501"/>
      <c r="B10" s="503" t="s">
        <v>439</v>
      </c>
      <c r="C10" s="560">
        <v>0</v>
      </c>
      <c r="D10" s="516" t="s">
        <v>365</v>
      </c>
      <c r="E10" s="721" t="s">
        <v>327</v>
      </c>
      <c r="F10" s="1055" t="s">
        <v>677</v>
      </c>
      <c r="G10" s="535"/>
      <c r="H10" s="514" t="s">
        <v>568</v>
      </c>
      <c r="I10" s="510" t="str">
        <f>IF(AND($C$8=1,$C$5+$C$6+$C$7=0,$C$9=2),"ДА","НЕТ")</f>
        <v>НЕТ</v>
      </c>
      <c r="J10" s="417"/>
      <c r="K10" s="414">
        <f t="shared" si="0"/>
        <v>0</v>
      </c>
      <c r="L10" s="501"/>
    </row>
    <row r="11" spans="1:12" ht="12">
      <c r="A11" s="501"/>
      <c r="B11" s="513" t="s">
        <v>440</v>
      </c>
      <c r="C11" s="557">
        <v>0</v>
      </c>
      <c r="D11" s="520" t="s">
        <v>365</v>
      </c>
      <c r="E11" s="740" t="s">
        <v>327</v>
      </c>
      <c r="F11" s="1056"/>
      <c r="G11" s="535"/>
      <c r="H11" s="514" t="s">
        <v>574</v>
      </c>
      <c r="I11" s="510" t="str">
        <f>IF(AND($C$8=1,$C$5+$C$6+$C$7=0,$C$9=2),"ДА","НЕТ")</f>
        <v>НЕТ</v>
      </c>
      <c r="J11" s="417"/>
      <c r="K11" s="414">
        <f t="shared" si="0"/>
        <v>0</v>
      </c>
      <c r="L11" s="501"/>
    </row>
    <row r="12" spans="1:12" ht="12">
      <c r="A12" s="501"/>
      <c r="B12" s="513" t="s">
        <v>546</v>
      </c>
      <c r="C12" s="557">
        <v>0</v>
      </c>
      <c r="D12" s="520" t="s">
        <v>365</v>
      </c>
      <c r="E12" s="740" t="s">
        <v>327</v>
      </c>
      <c r="F12" s="1056"/>
      <c r="G12" s="535"/>
      <c r="H12" s="509" t="s">
        <v>460</v>
      </c>
      <c r="I12" s="510" t="str">
        <f>IF(AND($C$5=1,$C$8+$C$7+$C$6=0,$C$9=1),"ДА","НЕТ")</f>
        <v>НЕТ</v>
      </c>
      <c r="J12" s="420"/>
      <c r="K12" s="414">
        <f t="shared" si="0"/>
        <v>0</v>
      </c>
      <c r="L12" s="501"/>
    </row>
    <row r="13" spans="1:12" ht="12.75" thickBot="1">
      <c r="A13" s="501"/>
      <c r="B13" s="508" t="s">
        <v>545</v>
      </c>
      <c r="C13" s="559">
        <v>0</v>
      </c>
      <c r="D13" s="523" t="s">
        <v>365</v>
      </c>
      <c r="E13" s="527" t="s">
        <v>327</v>
      </c>
      <c r="F13" s="1057"/>
      <c r="G13" s="535"/>
      <c r="H13" s="509" t="s">
        <v>461</v>
      </c>
      <c r="I13" s="510" t="str">
        <f>IF(AND($C$5=1,$C$8+$C$7+$C$6=0,$C$9=3),"ДА","НЕТ")</f>
        <v>НЕТ</v>
      </c>
      <c r="J13" s="420"/>
      <c r="K13" s="414">
        <f t="shared" si="0"/>
        <v>0</v>
      </c>
      <c r="L13" s="501"/>
    </row>
    <row r="14" spans="1:12" ht="11.25" customHeight="1">
      <c r="A14" s="501"/>
      <c r="B14" s="515" t="s">
        <v>750</v>
      </c>
      <c r="C14" s="663">
        <v>0</v>
      </c>
      <c r="D14" s="1089" t="s">
        <v>677</v>
      </c>
      <c r="E14" s="1090"/>
      <c r="F14" s="1091"/>
      <c r="G14" s="535"/>
      <c r="H14" s="509" t="s">
        <v>462</v>
      </c>
      <c r="I14" s="510" t="str">
        <f>IF(AND($C$7=1,$C$6+$C$8+$C$5=0,$C$9=1),"ДА","НЕТ")</f>
        <v>НЕТ</v>
      </c>
      <c r="J14" s="420"/>
      <c r="K14" s="414">
        <f t="shared" si="0"/>
        <v>0</v>
      </c>
      <c r="L14" s="501"/>
    </row>
    <row r="15" spans="1:12" ht="12.75" thickBot="1">
      <c r="A15" s="501"/>
      <c r="B15" s="610" t="s">
        <v>751</v>
      </c>
      <c r="C15" s="664">
        <v>0</v>
      </c>
      <c r="D15" s="1092"/>
      <c r="E15" s="1093"/>
      <c r="F15" s="1094"/>
      <c r="G15" s="535"/>
      <c r="H15" s="512" t="s">
        <v>463</v>
      </c>
      <c r="I15" s="510" t="str">
        <f>IF(AND($C$7=1,$C$6+$C$8+$C$5=0,$C$9=1),"ДА","НЕТ")</f>
        <v>НЕТ</v>
      </c>
      <c r="J15" s="420"/>
      <c r="K15" s="414">
        <f t="shared" si="0"/>
        <v>0</v>
      </c>
      <c r="L15" s="501"/>
    </row>
    <row r="16" spans="1:12" ht="12.75" thickBot="1">
      <c r="A16" s="501"/>
      <c r="B16" s="525" t="s">
        <v>483</v>
      </c>
      <c r="C16" s="561">
        <v>0</v>
      </c>
      <c r="D16" s="529" t="s">
        <v>624</v>
      </c>
      <c r="E16" s="741" t="s">
        <v>625</v>
      </c>
      <c r="F16" s="742"/>
      <c r="G16" s="535"/>
      <c r="H16" s="509" t="s">
        <v>467</v>
      </c>
      <c r="I16" s="510" t="str">
        <f>IF(AND($C$7=1,$C$6+$C$8+$C$5=0,$C$9=2),"ДА","НЕТ")</f>
        <v>НЕТ</v>
      </c>
      <c r="J16" s="420"/>
      <c r="K16" s="414">
        <f t="shared" si="0"/>
        <v>0</v>
      </c>
      <c r="L16" s="501"/>
    </row>
    <row r="17" spans="1:12" ht="12.75" thickBot="1">
      <c r="A17" s="501"/>
      <c r="B17" s="503" t="s">
        <v>205</v>
      </c>
      <c r="C17" s="560">
        <v>0</v>
      </c>
      <c r="D17" s="1058" t="s">
        <v>766</v>
      </c>
      <c r="E17" s="1059"/>
      <c r="F17" s="1060"/>
      <c r="G17" s="535"/>
      <c r="H17" s="533" t="s">
        <v>468</v>
      </c>
      <c r="I17" s="534" t="str">
        <f>IF(AND($C$7=1,$C$6+$C$8+$C$5=0,$C$9=2),"ДА","НЕТ")</f>
        <v>НЕТ</v>
      </c>
      <c r="J17" s="427"/>
      <c r="K17" s="571">
        <f t="shared" si="0"/>
        <v>0</v>
      </c>
      <c r="L17" s="501"/>
    </row>
    <row r="18" spans="1:12" s="89" customFormat="1" ht="12">
      <c r="A18" s="736"/>
      <c r="B18" s="513" t="s">
        <v>204</v>
      </c>
      <c r="C18" s="557">
        <v>0</v>
      </c>
      <c r="D18" s="1061" t="s">
        <v>767</v>
      </c>
      <c r="E18" s="1062"/>
      <c r="F18" s="1063"/>
      <c r="G18" s="539"/>
      <c r="H18" s="660"/>
      <c r="I18" s="661"/>
      <c r="J18" s="431"/>
      <c r="K18" s="432"/>
      <c r="L18" s="736"/>
    </row>
    <row r="19" spans="1:12" ht="12.75" thickBot="1">
      <c r="A19" s="501"/>
      <c r="B19" s="508" t="s">
        <v>197</v>
      </c>
      <c r="C19" s="559">
        <v>0</v>
      </c>
      <c r="D19" s="1064" t="s">
        <v>768</v>
      </c>
      <c r="E19" s="1065"/>
      <c r="F19" s="1066"/>
      <c r="G19" s="535"/>
      <c r="H19" s="660"/>
      <c r="I19" s="661"/>
      <c r="J19" s="431"/>
      <c r="K19" s="432"/>
      <c r="L19" s="501"/>
    </row>
    <row r="20" spans="1:12" ht="12.75" thickBot="1">
      <c r="A20" s="501"/>
      <c r="B20" s="814"/>
      <c r="C20" s="814"/>
      <c r="D20" s="814"/>
      <c r="E20" s="535"/>
      <c r="F20" s="535"/>
      <c r="G20" s="535"/>
      <c r="H20" s="660"/>
      <c r="I20" s="661"/>
      <c r="J20" s="431"/>
      <c r="K20" s="432"/>
      <c r="L20" s="501"/>
    </row>
    <row r="21" spans="1:12" ht="12.75">
      <c r="A21" s="501"/>
      <c r="B21" s="540" t="s">
        <v>5</v>
      </c>
      <c r="C21" s="541" t="s">
        <v>0</v>
      </c>
      <c r="D21" s="542" t="s">
        <v>4</v>
      </c>
      <c r="E21" s="543" t="s">
        <v>8</v>
      </c>
      <c r="F21" s="535"/>
      <c r="G21" s="535"/>
      <c r="H21" s="535"/>
      <c r="I21" s="535"/>
      <c r="J21" s="535"/>
      <c r="K21" s="535"/>
      <c r="L21" s="501"/>
    </row>
    <row r="22" spans="1:12">
      <c r="A22" s="501"/>
      <c r="B22" s="545" t="s">
        <v>547</v>
      </c>
      <c r="C22" s="437">
        <f>C13*C4*(C14+C15)</f>
        <v>0</v>
      </c>
      <c r="D22" s="438"/>
      <c r="E22" s="439">
        <f>C22*D22</f>
        <v>0</v>
      </c>
      <c r="F22" s="535"/>
      <c r="G22" s="535"/>
      <c r="H22" s="535"/>
      <c r="I22" s="535"/>
      <c r="J22" s="535"/>
      <c r="K22" s="535"/>
      <c r="L22" s="501"/>
    </row>
    <row r="23" spans="1:12">
      <c r="A23" s="501"/>
      <c r="B23" s="545" t="s">
        <v>621</v>
      </c>
      <c r="C23" s="437">
        <f>C12*C4*(C14+C15)</f>
        <v>0</v>
      </c>
      <c r="D23" s="449"/>
      <c r="E23" s="439">
        <f t="shared" ref="E23:E65" si="1">C23*D23</f>
        <v>0</v>
      </c>
      <c r="F23" s="535"/>
      <c r="G23" s="535"/>
      <c r="H23" s="535"/>
      <c r="I23" s="535"/>
      <c r="J23" s="535"/>
      <c r="K23" s="535"/>
      <c r="L23" s="501"/>
    </row>
    <row r="24" spans="1:12">
      <c r="A24" s="501"/>
      <c r="B24" s="545" t="s">
        <v>490</v>
      </c>
      <c r="C24" s="437">
        <f>(C10+C11)*C4*(C14+C15)*2</f>
        <v>0</v>
      </c>
      <c r="D24" s="449"/>
      <c r="E24" s="439">
        <f t="shared" si="1"/>
        <v>0</v>
      </c>
      <c r="F24" s="535"/>
      <c r="G24" s="535"/>
      <c r="H24" s="535"/>
      <c r="I24" s="535"/>
      <c r="J24" s="535"/>
      <c r="K24" s="535"/>
      <c r="L24" s="501"/>
    </row>
    <row r="25" spans="1:12">
      <c r="A25" s="501"/>
      <c r="B25" s="547" t="s">
        <v>526</v>
      </c>
      <c r="C25" s="442">
        <f>(C14+C15)*2</f>
        <v>0</v>
      </c>
      <c r="D25" s="443"/>
      <c r="E25" s="439">
        <f t="shared" si="1"/>
        <v>0</v>
      </c>
      <c r="F25" s="535"/>
      <c r="G25" s="535"/>
      <c r="H25" s="535"/>
      <c r="I25" s="535"/>
      <c r="J25" s="535"/>
      <c r="K25" s="535"/>
      <c r="L25" s="501"/>
    </row>
    <row r="26" spans="1:12">
      <c r="A26" s="501"/>
      <c r="B26" s="547" t="s">
        <v>583</v>
      </c>
      <c r="C26" s="442">
        <f>(C4-1)*(C14+C15)</f>
        <v>0</v>
      </c>
      <c r="D26" s="443"/>
      <c r="E26" s="439">
        <f t="shared" si="1"/>
        <v>0</v>
      </c>
      <c r="F26" s="535"/>
      <c r="G26" s="535"/>
      <c r="H26" s="535"/>
      <c r="I26" s="535"/>
      <c r="J26" s="535"/>
      <c r="K26" s="535"/>
      <c r="L26" s="501"/>
    </row>
    <row r="27" spans="1:12">
      <c r="A27" s="501"/>
      <c r="B27" s="545" t="s">
        <v>553</v>
      </c>
      <c r="C27" s="437">
        <f>C2*C14</f>
        <v>0</v>
      </c>
      <c r="D27" s="438"/>
      <c r="E27" s="439">
        <f t="shared" si="1"/>
        <v>0</v>
      </c>
      <c r="F27" s="535"/>
      <c r="G27" s="535"/>
      <c r="H27" s="535"/>
      <c r="I27" s="535"/>
      <c r="J27" s="535"/>
      <c r="K27" s="535"/>
      <c r="L27" s="501"/>
    </row>
    <row r="28" spans="1:12">
      <c r="A28" s="501"/>
      <c r="B28" s="545" t="s">
        <v>553</v>
      </c>
      <c r="C28" s="437">
        <f>C2*C14*C12</f>
        <v>0</v>
      </c>
      <c r="D28" s="438"/>
      <c r="E28" s="439">
        <f>C28*D28</f>
        <v>0</v>
      </c>
      <c r="F28" s="535"/>
      <c r="G28" s="535"/>
      <c r="H28" s="535"/>
      <c r="I28" s="535"/>
      <c r="J28" s="535"/>
      <c r="K28" s="535"/>
      <c r="L28" s="501"/>
    </row>
    <row r="29" spans="1:12">
      <c r="A29" s="501"/>
      <c r="B29" s="545" t="s">
        <v>441</v>
      </c>
      <c r="C29" s="437">
        <f>C2*C11*2*(C14+C15)</f>
        <v>0</v>
      </c>
      <c r="D29" s="492"/>
      <c r="E29" s="665">
        <f>C29*D29</f>
        <v>0</v>
      </c>
      <c r="F29" s="535"/>
      <c r="G29" s="535"/>
      <c r="H29" s="535"/>
      <c r="I29" s="535"/>
      <c r="J29" s="535"/>
      <c r="K29" s="535"/>
      <c r="L29" s="501"/>
    </row>
    <row r="30" spans="1:12">
      <c r="A30" s="501"/>
      <c r="B30" s="547" t="s">
        <v>124</v>
      </c>
      <c r="C30" s="442">
        <f>C2*(C14+C15)*C10</f>
        <v>0</v>
      </c>
      <c r="D30" s="443"/>
      <c r="E30" s="439">
        <f t="shared" si="1"/>
        <v>0</v>
      </c>
      <c r="F30" s="535"/>
      <c r="G30" s="535"/>
      <c r="H30" s="535"/>
      <c r="I30" s="535"/>
      <c r="J30" s="535"/>
      <c r="K30" s="535"/>
      <c r="L30" s="501"/>
    </row>
    <row r="31" spans="1:12">
      <c r="A31" s="501"/>
      <c r="B31" s="547" t="s">
        <v>551</v>
      </c>
      <c r="C31" s="442">
        <f>C2*(C14+C15)*C13</f>
        <v>0</v>
      </c>
      <c r="D31" s="443"/>
      <c r="E31" s="439">
        <f t="shared" si="1"/>
        <v>0</v>
      </c>
      <c r="F31" s="535"/>
      <c r="G31" s="535"/>
      <c r="H31" s="535"/>
      <c r="I31" s="535"/>
      <c r="J31" s="535"/>
      <c r="K31" s="535"/>
      <c r="L31" s="501"/>
    </row>
    <row r="32" spans="1:12">
      <c r="A32" s="501"/>
      <c r="B32" s="547" t="s">
        <v>552</v>
      </c>
      <c r="C32" s="442">
        <f>C2*C12*(C14+C15)</f>
        <v>0</v>
      </c>
      <c r="D32" s="449"/>
      <c r="E32" s="439">
        <f t="shared" si="1"/>
        <v>0</v>
      </c>
      <c r="F32" s="535"/>
      <c r="G32" s="535"/>
      <c r="H32" s="535"/>
      <c r="I32" s="535"/>
      <c r="J32" s="535"/>
      <c r="K32" s="535"/>
      <c r="L32" s="501"/>
    </row>
    <row r="33" spans="1:12">
      <c r="A33" s="501"/>
      <c r="B33" s="547" t="s">
        <v>442</v>
      </c>
      <c r="C33" s="442">
        <f>C2*C10*(C14+C15)</f>
        <v>0</v>
      </c>
      <c r="D33" s="449"/>
      <c r="E33" s="439">
        <f t="shared" si="1"/>
        <v>0</v>
      </c>
      <c r="F33" s="535"/>
      <c r="G33" s="535"/>
      <c r="H33" s="535"/>
      <c r="I33" s="535"/>
      <c r="J33" s="535"/>
      <c r="K33" s="535"/>
      <c r="L33" s="501"/>
    </row>
    <row r="34" spans="1:12">
      <c r="A34" s="501"/>
      <c r="B34" s="547" t="s">
        <v>443</v>
      </c>
      <c r="C34" s="442">
        <f>C2*C11*(C14+C15)</f>
        <v>0</v>
      </c>
      <c r="D34" s="449"/>
      <c r="E34" s="439">
        <f t="shared" si="1"/>
        <v>0</v>
      </c>
      <c r="F34" s="535"/>
      <c r="G34" s="535"/>
      <c r="H34" s="535"/>
      <c r="I34" s="535"/>
      <c r="J34" s="535"/>
      <c r="K34" s="535"/>
      <c r="L34" s="501"/>
    </row>
    <row r="35" spans="1:12">
      <c r="A35" s="501"/>
      <c r="B35" s="545" t="s">
        <v>530</v>
      </c>
      <c r="C35" s="437">
        <f>C2*C14</f>
        <v>0</v>
      </c>
      <c r="D35" s="438"/>
      <c r="E35" s="439">
        <f t="shared" si="1"/>
        <v>0</v>
      </c>
      <c r="F35" s="535"/>
      <c r="G35" s="535"/>
      <c r="H35" s="535"/>
      <c r="I35" s="535"/>
      <c r="J35" s="535"/>
      <c r="K35" s="535"/>
      <c r="L35" s="501"/>
    </row>
    <row r="36" spans="1:12">
      <c r="A36" s="501"/>
      <c r="B36" s="545" t="s">
        <v>529</v>
      </c>
      <c r="C36" s="437">
        <f>C2*C15</f>
        <v>0</v>
      </c>
      <c r="D36" s="492"/>
      <c r="E36" s="665">
        <f t="shared" si="1"/>
        <v>0</v>
      </c>
      <c r="F36" s="535"/>
      <c r="G36" s="535"/>
      <c r="H36" s="535"/>
      <c r="I36" s="535"/>
      <c r="J36" s="535"/>
      <c r="K36" s="535"/>
      <c r="L36" s="501"/>
    </row>
    <row r="37" spans="1:12">
      <c r="A37" s="501"/>
      <c r="B37" s="731" t="s">
        <v>564</v>
      </c>
      <c r="C37" s="495">
        <f>C2*(C14+C15)</f>
        <v>0</v>
      </c>
      <c r="D37" s="650"/>
      <c r="E37" s="439">
        <f t="shared" si="1"/>
        <v>0</v>
      </c>
      <c r="F37" s="535"/>
      <c r="G37" s="535"/>
      <c r="H37" s="535"/>
      <c r="I37" s="535"/>
      <c r="J37" s="535"/>
      <c r="K37" s="535"/>
      <c r="L37" s="501"/>
    </row>
    <row r="38" spans="1:12">
      <c r="A38" s="501"/>
      <c r="B38" s="547" t="s">
        <v>446</v>
      </c>
      <c r="C38" s="442">
        <f>(C25+C26)*2</f>
        <v>0</v>
      </c>
      <c r="D38" s="649"/>
      <c r="E38" s="665">
        <f t="shared" si="1"/>
        <v>0</v>
      </c>
      <c r="F38" s="535"/>
      <c r="G38" s="535"/>
      <c r="H38" s="535"/>
      <c r="I38" s="535"/>
      <c r="J38" s="535"/>
      <c r="K38" s="535"/>
      <c r="L38" s="501"/>
    </row>
    <row r="39" spans="1:12">
      <c r="A39" s="501"/>
      <c r="B39" s="547" t="s">
        <v>445</v>
      </c>
      <c r="C39" s="442">
        <f>C14</f>
        <v>0</v>
      </c>
      <c r="D39" s="443"/>
      <c r="E39" s="439">
        <f t="shared" si="1"/>
        <v>0</v>
      </c>
      <c r="F39" s="535"/>
      <c r="G39" s="535"/>
      <c r="H39" s="535"/>
      <c r="I39" s="535"/>
      <c r="J39" s="535"/>
      <c r="K39" s="535"/>
      <c r="L39" s="501"/>
    </row>
    <row r="40" spans="1:12">
      <c r="A40" s="501"/>
      <c r="B40" s="547" t="s">
        <v>805</v>
      </c>
      <c r="C40" s="442">
        <f>C15*((C4*2)-2)</f>
        <v>0</v>
      </c>
      <c r="D40" s="443"/>
      <c r="E40" s="439">
        <f t="shared" ref="E40" si="2">C40*D40</f>
        <v>0</v>
      </c>
      <c r="F40" s="535"/>
      <c r="G40" s="535"/>
      <c r="H40" s="535"/>
      <c r="I40" s="535"/>
      <c r="J40" s="535"/>
      <c r="K40" s="535"/>
      <c r="L40" s="501"/>
    </row>
    <row r="41" spans="1:12">
      <c r="A41" s="501"/>
      <c r="B41" s="547" t="s">
        <v>549</v>
      </c>
      <c r="C41" s="442">
        <f>C15</f>
        <v>0</v>
      </c>
      <c r="D41" s="449"/>
      <c r="E41" s="665">
        <f t="shared" si="1"/>
        <v>0</v>
      </c>
      <c r="F41" s="535"/>
      <c r="G41" s="535"/>
      <c r="H41" s="535"/>
      <c r="I41" s="535"/>
      <c r="J41" s="535"/>
      <c r="K41" s="535"/>
      <c r="L41" s="501"/>
    </row>
    <row r="42" spans="1:12">
      <c r="A42" s="501"/>
      <c r="B42" s="547" t="s">
        <v>584</v>
      </c>
      <c r="C42" s="442">
        <f>(C4-1)*(C14+C15)</f>
        <v>0</v>
      </c>
      <c r="D42" s="443"/>
      <c r="E42" s="439">
        <f t="shared" si="1"/>
        <v>0</v>
      </c>
      <c r="F42" s="535"/>
      <c r="G42" s="535"/>
      <c r="H42" s="535"/>
      <c r="I42" s="535"/>
      <c r="J42" s="535"/>
      <c r="K42" s="535"/>
      <c r="L42" s="501"/>
    </row>
    <row r="43" spans="1:12">
      <c r="A43" s="501"/>
      <c r="B43" s="547" t="s">
        <v>585</v>
      </c>
      <c r="C43" s="442">
        <f>(C4-1)*(C14+C15)</f>
        <v>0</v>
      </c>
      <c r="D43" s="443"/>
      <c r="E43" s="439">
        <f t="shared" si="1"/>
        <v>0</v>
      </c>
      <c r="F43" s="535"/>
      <c r="G43" s="535"/>
      <c r="H43" s="535"/>
      <c r="I43" s="535"/>
      <c r="J43" s="535"/>
      <c r="K43" s="535"/>
      <c r="L43" s="501"/>
    </row>
    <row r="44" spans="1:12">
      <c r="A44" s="501"/>
      <c r="B44" s="547" t="s">
        <v>558</v>
      </c>
      <c r="C44" s="442">
        <f>(C14+C15)</f>
        <v>0</v>
      </c>
      <c r="D44" s="443"/>
      <c r="E44" s="439">
        <f t="shared" si="1"/>
        <v>0</v>
      </c>
      <c r="F44" s="535"/>
      <c r="G44" s="535"/>
      <c r="H44" s="535"/>
      <c r="I44" s="535"/>
      <c r="J44" s="535"/>
      <c r="K44" s="535"/>
      <c r="L44" s="501"/>
    </row>
    <row r="45" spans="1:12">
      <c r="A45" s="501"/>
      <c r="B45" s="547" t="s">
        <v>487</v>
      </c>
      <c r="C45" s="442">
        <f>EVEN(ROUNDDOWN(IF(C16=1,(C2*(C15+C14)/0.5),0),0))</f>
        <v>0</v>
      </c>
      <c r="D45" s="443"/>
      <c r="E45" s="439">
        <f t="shared" si="1"/>
        <v>0</v>
      </c>
      <c r="F45" s="549"/>
      <c r="G45" s="535"/>
      <c r="H45" s="535"/>
      <c r="I45" s="535"/>
      <c r="J45" s="535"/>
      <c r="K45" s="535"/>
      <c r="L45" s="501"/>
    </row>
    <row r="46" spans="1:12">
      <c r="A46" s="501"/>
      <c r="B46" s="547" t="s">
        <v>559</v>
      </c>
      <c r="C46" s="442">
        <f>EVEN(ROUNDDOWN(IF(C16=0,(C2/0.5)*(C14+C15),0),0))</f>
        <v>0</v>
      </c>
      <c r="D46" s="443"/>
      <c r="E46" s="439">
        <f t="shared" si="1"/>
        <v>0</v>
      </c>
      <c r="F46" s="738"/>
      <c r="G46" s="535"/>
      <c r="H46" s="535"/>
      <c r="I46" s="535"/>
      <c r="J46" s="535"/>
      <c r="K46" s="535"/>
      <c r="L46" s="501"/>
    </row>
    <row r="47" spans="1:12">
      <c r="A47" s="501"/>
      <c r="B47" s="547" t="s">
        <v>535</v>
      </c>
      <c r="C47" s="442">
        <f>C2*(C14+C15)</f>
        <v>0</v>
      </c>
      <c r="D47" s="443"/>
      <c r="E47" s="439">
        <f t="shared" si="1"/>
        <v>0</v>
      </c>
      <c r="F47" s="743"/>
      <c r="G47" s="535"/>
      <c r="H47" s="535"/>
      <c r="I47" s="535"/>
      <c r="J47" s="535"/>
      <c r="K47" s="535"/>
      <c r="L47" s="501"/>
    </row>
    <row r="48" spans="1:12">
      <c r="A48" s="501"/>
      <c r="B48" s="547" t="s">
        <v>484</v>
      </c>
      <c r="C48" s="442">
        <f>C2*(C14+C15)</f>
        <v>0</v>
      </c>
      <c r="D48" s="443"/>
      <c r="E48" s="439">
        <f t="shared" si="1"/>
        <v>0</v>
      </c>
      <c r="F48" s="743"/>
      <c r="G48" s="535"/>
      <c r="H48" s="535"/>
      <c r="I48" s="535"/>
      <c r="J48" s="535"/>
      <c r="K48" s="535"/>
      <c r="L48" s="501"/>
    </row>
    <row r="49" spans="1:12">
      <c r="A49" s="501"/>
      <c r="B49" s="547" t="s">
        <v>485</v>
      </c>
      <c r="C49" s="442">
        <f>(C14+C15)</f>
        <v>0</v>
      </c>
      <c r="D49" s="443"/>
      <c r="E49" s="439">
        <f t="shared" si="1"/>
        <v>0</v>
      </c>
      <c r="F49" s="743"/>
      <c r="G49" s="535"/>
      <c r="H49" s="535"/>
      <c r="I49" s="535"/>
      <c r="J49" s="535"/>
      <c r="K49" s="535"/>
      <c r="L49" s="501"/>
    </row>
    <row r="50" spans="1:12">
      <c r="A50" s="501"/>
      <c r="B50" s="547" t="s">
        <v>486</v>
      </c>
      <c r="C50" s="442">
        <f>(C14+C15)</f>
        <v>0</v>
      </c>
      <c r="D50" s="443"/>
      <c r="E50" s="439">
        <f t="shared" si="1"/>
        <v>0</v>
      </c>
      <c r="F50" s="744"/>
      <c r="G50" s="535"/>
      <c r="H50" s="535"/>
      <c r="I50" s="535"/>
      <c r="J50" s="535"/>
      <c r="K50" s="535"/>
      <c r="L50" s="501"/>
    </row>
    <row r="51" spans="1:12">
      <c r="A51" s="501"/>
      <c r="B51" s="548" t="s">
        <v>586</v>
      </c>
      <c r="C51" s="450">
        <f>(C4-1)*(C14+C15)</f>
        <v>0</v>
      </c>
      <c r="D51" s="443"/>
      <c r="E51" s="439">
        <f t="shared" si="1"/>
        <v>0</v>
      </c>
      <c r="F51" s="744"/>
      <c r="G51" s="535"/>
      <c r="H51" s="535"/>
      <c r="I51" s="535"/>
      <c r="J51" s="535"/>
      <c r="K51" s="535"/>
      <c r="L51" s="501"/>
    </row>
    <row r="52" spans="1:12" ht="11.25" customHeight="1">
      <c r="A52" s="501"/>
      <c r="B52" s="548" t="s">
        <v>587</v>
      </c>
      <c r="C52" s="450">
        <f>(C4-1)*(C14+C15)</f>
        <v>0</v>
      </c>
      <c r="D52" s="443"/>
      <c r="E52" s="439">
        <f t="shared" si="1"/>
        <v>0</v>
      </c>
      <c r="F52" s="744"/>
      <c r="G52" s="535"/>
      <c r="H52" s="535"/>
      <c r="I52" s="535"/>
      <c r="J52" s="535"/>
      <c r="K52" s="535"/>
      <c r="L52" s="501"/>
    </row>
    <row r="53" spans="1:12">
      <c r="A53" s="501"/>
      <c r="B53" s="548" t="s">
        <v>533</v>
      </c>
      <c r="C53" s="450">
        <f>(C5+C6)*C14</f>
        <v>0</v>
      </c>
      <c r="D53" s="443"/>
      <c r="E53" s="439">
        <f t="shared" si="1"/>
        <v>0</v>
      </c>
      <c r="F53" s="745"/>
      <c r="G53" s="535"/>
      <c r="H53" s="535"/>
      <c r="I53" s="535"/>
      <c r="J53" s="535"/>
      <c r="K53" s="535"/>
      <c r="L53" s="501"/>
    </row>
    <row r="54" spans="1:12">
      <c r="A54" s="501"/>
      <c r="B54" s="548" t="s">
        <v>453</v>
      </c>
      <c r="C54" s="450">
        <f>C6*C14</f>
        <v>0</v>
      </c>
      <c r="D54" s="443"/>
      <c r="E54" s="439">
        <f t="shared" si="1"/>
        <v>0</v>
      </c>
      <c r="F54" s="746"/>
      <c r="G54" s="535"/>
      <c r="H54" s="535"/>
      <c r="I54" s="535"/>
      <c r="J54" s="535"/>
      <c r="K54" s="535"/>
      <c r="L54" s="501"/>
    </row>
    <row r="55" spans="1:12">
      <c r="A55" s="501"/>
      <c r="B55" s="548" t="s">
        <v>575</v>
      </c>
      <c r="C55" s="450">
        <f>C6*C14</f>
        <v>0</v>
      </c>
      <c r="D55" s="443"/>
      <c r="E55" s="439">
        <f t="shared" si="1"/>
        <v>0</v>
      </c>
      <c r="F55" s="746"/>
      <c r="G55" s="535"/>
      <c r="H55" s="535"/>
      <c r="I55" s="535"/>
      <c r="J55" s="535"/>
      <c r="K55" s="535"/>
      <c r="L55" s="501"/>
    </row>
    <row r="56" spans="1:12">
      <c r="A56" s="501"/>
      <c r="B56" s="548" t="s">
        <v>456</v>
      </c>
      <c r="C56" s="495">
        <f>C8*C15</f>
        <v>0</v>
      </c>
      <c r="D56" s="449"/>
      <c r="E56" s="496">
        <f t="shared" si="1"/>
        <v>0</v>
      </c>
      <c r="F56" s="746"/>
      <c r="G56" s="535"/>
      <c r="H56" s="535"/>
      <c r="I56" s="535"/>
      <c r="J56" s="535"/>
      <c r="K56" s="535"/>
      <c r="L56" s="501"/>
    </row>
    <row r="57" spans="1:12">
      <c r="A57" s="501"/>
      <c r="B57" s="548" t="s">
        <v>465</v>
      </c>
      <c r="C57" s="495">
        <f>C7*C15</f>
        <v>0</v>
      </c>
      <c r="D57" s="449"/>
      <c r="E57" s="496">
        <f t="shared" si="1"/>
        <v>0</v>
      </c>
      <c r="F57" s="746"/>
      <c r="G57" s="535"/>
      <c r="H57" s="535"/>
      <c r="I57" s="535"/>
      <c r="J57" s="535"/>
      <c r="K57" s="535"/>
      <c r="L57" s="501"/>
    </row>
    <row r="58" spans="1:12">
      <c r="A58" s="501"/>
      <c r="B58" s="548" t="s">
        <v>466</v>
      </c>
      <c r="C58" s="495">
        <f>C7*C15</f>
        <v>0</v>
      </c>
      <c r="D58" s="449"/>
      <c r="E58" s="496">
        <f t="shared" si="1"/>
        <v>0</v>
      </c>
      <c r="F58" s="746"/>
      <c r="G58" s="535"/>
      <c r="H58" s="535"/>
      <c r="I58" s="535"/>
      <c r="J58" s="535"/>
      <c r="K58" s="535"/>
      <c r="L58" s="501"/>
    </row>
    <row r="59" spans="1:12">
      <c r="A59" s="501"/>
      <c r="B59" s="548" t="s">
        <v>455</v>
      </c>
      <c r="C59" s="495">
        <f>C8*C15</f>
        <v>0</v>
      </c>
      <c r="D59" s="449"/>
      <c r="E59" s="496">
        <f t="shared" si="1"/>
        <v>0</v>
      </c>
      <c r="F59" s="746"/>
      <c r="G59" s="535"/>
      <c r="H59" s="535"/>
      <c r="I59" s="535"/>
      <c r="J59" s="535"/>
      <c r="K59" s="535"/>
      <c r="L59" s="501"/>
    </row>
    <row r="60" spans="1:12">
      <c r="A60" s="501"/>
      <c r="B60" s="547" t="s">
        <v>560</v>
      </c>
      <c r="C60" s="442">
        <f>C2*C15</f>
        <v>0</v>
      </c>
      <c r="D60" s="449"/>
      <c r="E60" s="439">
        <f t="shared" si="1"/>
        <v>0</v>
      </c>
      <c r="F60" s="746"/>
      <c r="G60" s="535"/>
      <c r="H60" s="535"/>
      <c r="I60" s="535"/>
      <c r="J60" s="535"/>
      <c r="K60" s="535"/>
      <c r="L60" s="501"/>
    </row>
    <row r="61" spans="1:12" ht="11.25" customHeight="1">
      <c r="A61" s="501"/>
      <c r="B61" s="548" t="s">
        <v>458</v>
      </c>
      <c r="C61" s="450">
        <f>C5*C14</f>
        <v>0</v>
      </c>
      <c r="D61" s="443"/>
      <c r="E61" s="439">
        <f t="shared" si="1"/>
        <v>0</v>
      </c>
      <c r="F61" s="746"/>
      <c r="G61" s="535"/>
      <c r="H61" s="535"/>
      <c r="I61" s="535"/>
      <c r="J61" s="535"/>
      <c r="K61" s="535"/>
      <c r="L61" s="501"/>
    </row>
    <row r="62" spans="1:12" ht="11.25" customHeight="1">
      <c r="A62" s="501"/>
      <c r="B62" s="621" t="s">
        <v>203</v>
      </c>
      <c r="C62" s="602">
        <f>C18</f>
        <v>0</v>
      </c>
      <c r="D62" s="618"/>
      <c r="E62" s="496">
        <f t="shared" si="1"/>
        <v>0</v>
      </c>
      <c r="F62" s="746"/>
      <c r="G62" s="535"/>
      <c r="H62" s="535"/>
      <c r="I62" s="535"/>
      <c r="J62" s="535"/>
      <c r="K62" s="535"/>
      <c r="L62" s="501"/>
    </row>
    <row r="63" spans="1:12" ht="11.25" customHeight="1">
      <c r="A63" s="501"/>
      <c r="B63" s="621" t="s">
        <v>206</v>
      </c>
      <c r="C63" s="602">
        <f>C17</f>
        <v>0</v>
      </c>
      <c r="D63" s="618"/>
      <c r="E63" s="496">
        <f t="shared" si="1"/>
        <v>0</v>
      </c>
      <c r="F63" s="746"/>
      <c r="G63" s="535"/>
      <c r="H63" s="535"/>
      <c r="I63" s="535"/>
      <c r="J63" s="535"/>
      <c r="K63" s="535"/>
      <c r="L63" s="501"/>
    </row>
    <row r="64" spans="1:12" ht="11.25" customHeight="1">
      <c r="A64" s="501"/>
      <c r="B64" s="621" t="s">
        <v>769</v>
      </c>
      <c r="C64" s="602">
        <f>C19</f>
        <v>0</v>
      </c>
      <c r="D64" s="618"/>
      <c r="E64" s="496">
        <f t="shared" si="1"/>
        <v>0</v>
      </c>
      <c r="F64" s="746"/>
      <c r="G64" s="535"/>
      <c r="H64" s="535"/>
      <c r="I64" s="535"/>
      <c r="J64" s="535"/>
      <c r="K64" s="535"/>
      <c r="L64" s="501"/>
    </row>
    <row r="65" spans="1:12" ht="12" thickBot="1">
      <c r="A65" s="501"/>
      <c r="B65" s="550" t="s">
        <v>459</v>
      </c>
      <c r="C65" s="498">
        <f>C5*C14</f>
        <v>0</v>
      </c>
      <c r="D65" s="499"/>
      <c r="E65" s="500">
        <f t="shared" si="1"/>
        <v>0</v>
      </c>
      <c r="F65" s="747"/>
      <c r="G65" s="535"/>
      <c r="H65" s="535"/>
      <c r="I65" s="535"/>
      <c r="J65" s="535"/>
      <c r="K65" s="535"/>
      <c r="L65" s="501"/>
    </row>
    <row r="66" spans="1:12" ht="13.5" thickBot="1">
      <c r="A66" s="501"/>
      <c r="B66" s="535"/>
      <c r="C66" s="535"/>
      <c r="D66" s="551" t="s">
        <v>9</v>
      </c>
      <c r="E66" s="737">
        <f>SUMIF(E22:E65,"&gt;0",E22:E65)</f>
        <v>0</v>
      </c>
      <c r="F66" s="747"/>
      <c r="G66" s="535"/>
      <c r="H66" s="535"/>
      <c r="I66" s="535"/>
      <c r="J66" s="535"/>
      <c r="K66" s="535"/>
      <c r="L66" s="501"/>
    </row>
    <row r="67" spans="1:12">
      <c r="A67" s="501"/>
      <c r="B67" s="535"/>
      <c r="C67" s="535"/>
      <c r="D67" s="535"/>
      <c r="E67" s="535"/>
      <c r="F67" s="747"/>
      <c r="G67" s="535"/>
      <c r="H67" s="535"/>
      <c r="I67" s="535"/>
      <c r="J67" s="535"/>
      <c r="K67" s="535"/>
      <c r="L67" s="501"/>
    </row>
    <row r="68" spans="1:12">
      <c r="A68" s="501"/>
      <c r="B68" s="535"/>
      <c r="C68" s="535"/>
      <c r="D68" s="535"/>
      <c r="E68" s="535"/>
      <c r="F68" s="535"/>
      <c r="G68" s="535"/>
      <c r="H68" s="535"/>
      <c r="I68" s="535"/>
      <c r="J68" s="535"/>
      <c r="K68" s="535"/>
      <c r="L68" s="501"/>
    </row>
    <row r="69" spans="1:12" ht="11.25" customHeight="1">
      <c r="A69" s="501"/>
      <c r="B69" s="535"/>
      <c r="C69" s="535"/>
      <c r="D69" s="535"/>
      <c r="E69" s="535"/>
      <c r="F69" s="535"/>
      <c r="G69" s="535"/>
      <c r="H69" s="535"/>
      <c r="I69" s="535"/>
      <c r="J69" s="535"/>
      <c r="K69" s="535"/>
      <c r="L69" s="501"/>
    </row>
    <row r="70" spans="1:12" ht="11.25" customHeight="1">
      <c r="A70" s="501"/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</row>
    <row r="71" spans="1:12">
      <c r="A71" s="501"/>
      <c r="B71" s="501"/>
      <c r="C71" s="501"/>
      <c r="D71" s="501"/>
      <c r="E71" s="501"/>
      <c r="F71" s="501"/>
      <c r="G71" s="501"/>
      <c r="H71" s="501"/>
      <c r="I71" s="501"/>
      <c r="J71" s="501"/>
      <c r="K71" s="501"/>
      <c r="L71" s="501"/>
    </row>
    <row r="72" spans="1:12">
      <c r="A72" s="501"/>
      <c r="B72" s="501"/>
      <c r="C72" s="501"/>
      <c r="D72" s="501"/>
      <c r="E72" s="501"/>
      <c r="F72" s="501"/>
      <c r="G72" s="501"/>
      <c r="H72" s="501"/>
      <c r="I72" s="501"/>
      <c r="J72" s="501"/>
      <c r="K72" s="501"/>
      <c r="L72" s="501"/>
    </row>
    <row r="73" spans="1:12" ht="11.25" customHeight="1"/>
    <row r="74" spans="1:12" ht="11.25" customHeight="1"/>
  </sheetData>
  <sheetProtection algorithmName="SHA-512" hashValue="UFm9pbDUygsySXXttBRajXtulUz6fgpLFwd2h2RoBz9JFTO6EjJg59Fuwma6IPWzziV7Tuj9rqbr2SRagAUfjg==" saltValue="SghyI8EeIZlIepRF7qyKwQ==" spinCount="100000" sheet="1"/>
  <mergeCells count="9">
    <mergeCell ref="D18:F18"/>
    <mergeCell ref="D19:F19"/>
    <mergeCell ref="B1:E1"/>
    <mergeCell ref="D14:F15"/>
    <mergeCell ref="F5:F8"/>
    <mergeCell ref="F10:F13"/>
    <mergeCell ref="D2:F3"/>
    <mergeCell ref="D4:F4"/>
    <mergeCell ref="D17:F17"/>
  </mergeCells>
  <conditionalFormatting sqref="C9">
    <cfRule type="cellIs" dxfId="324" priority="29" operator="greaterThan">
      <formula>0</formula>
    </cfRule>
  </conditionalFormatting>
  <conditionalFormatting sqref="C5:C8">
    <cfRule type="cellIs" dxfId="323" priority="27" operator="greaterThan">
      <formula>0</formula>
    </cfRule>
  </conditionalFormatting>
  <conditionalFormatting sqref="C9">
    <cfRule type="cellIs" dxfId="322" priority="30" operator="greaterThan">
      <formula>0</formula>
    </cfRule>
  </conditionalFormatting>
  <conditionalFormatting sqref="C9">
    <cfRule type="cellIs" dxfId="321" priority="31" operator="greaterThan">
      <formula>0</formula>
    </cfRule>
  </conditionalFormatting>
  <conditionalFormatting sqref="C14:C15">
    <cfRule type="cellIs" dxfId="320" priority="28" operator="greaterThan">
      <formula>0</formula>
    </cfRule>
  </conditionalFormatting>
  <conditionalFormatting sqref="J3:K20">
    <cfRule type="cellIs" dxfId="319" priority="5" operator="greaterThan">
      <formula>0</formula>
    </cfRule>
    <cfRule type="cellIs" dxfId="318" priority="22" operator="greaterThan">
      <formula>0</formula>
    </cfRule>
    <cfRule type="cellIs" dxfId="317" priority="23" operator="greaterThan">
      <formula>0</formula>
    </cfRule>
  </conditionalFormatting>
  <conditionalFormatting sqref="I3:I20">
    <cfRule type="cellIs" dxfId="316" priority="24" operator="equal">
      <formula>"НЕТ"</formula>
    </cfRule>
    <cfRule type="cellIs" dxfId="315" priority="25" operator="equal">
      <formula>"ДА"</formula>
    </cfRule>
  </conditionalFormatting>
  <conditionalFormatting sqref="I3:I20">
    <cfRule type="colorScale" priority="26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36:E36">
    <cfRule type="cellIs" dxfId="314" priority="19" operator="greaterThan">
      <formula>0</formula>
    </cfRule>
    <cfRule type="cellIs" dxfId="313" priority="20" operator="greaterThan">
      <formula>0</formula>
    </cfRule>
    <cfRule type="cellIs" dxfId="312" priority="21" operator="greaterThan">
      <formula>0</formula>
    </cfRule>
  </conditionalFormatting>
  <conditionalFormatting sqref="C41:E41">
    <cfRule type="cellIs" dxfId="311" priority="16" operator="greaterThan">
      <formula>0</formula>
    </cfRule>
    <cfRule type="cellIs" dxfId="310" priority="17" operator="greaterThan">
      <formula>0</formula>
    </cfRule>
    <cfRule type="cellIs" dxfId="309" priority="18" operator="greaterThan">
      <formula>0</formula>
    </cfRule>
  </conditionalFormatting>
  <conditionalFormatting sqref="C57:E58">
    <cfRule type="cellIs" dxfId="308" priority="14" operator="greaterThan">
      <formula>0</formula>
    </cfRule>
  </conditionalFormatting>
  <conditionalFormatting sqref="C56:E56">
    <cfRule type="cellIs" dxfId="307" priority="15" operator="greaterThan">
      <formula>0</formula>
    </cfRule>
  </conditionalFormatting>
  <conditionalFormatting sqref="C59:E59">
    <cfRule type="cellIs" dxfId="306" priority="13" operator="greaterThan">
      <formula>0</formula>
    </cfRule>
  </conditionalFormatting>
  <conditionalFormatting sqref="C56:E59">
    <cfRule type="cellIs" dxfId="305" priority="10" operator="greaterThan">
      <formula>0</formula>
    </cfRule>
    <cfRule type="cellIs" dxfId="304" priority="11" operator="greaterThan">
      <formula>0</formula>
    </cfRule>
    <cfRule type="cellIs" dxfId="303" priority="12" operator="greaterThan">
      <formula>0</formula>
    </cfRule>
  </conditionalFormatting>
  <conditionalFormatting sqref="C60:E60">
    <cfRule type="cellIs" dxfId="302" priority="9" operator="greaterThan">
      <formula>0</formula>
    </cfRule>
  </conditionalFormatting>
  <conditionalFormatting sqref="E66">
    <cfRule type="cellIs" dxfId="301" priority="4" operator="greaterThan">
      <formula>0</formula>
    </cfRule>
    <cfRule type="cellIs" dxfId="300" priority="8" operator="greaterThan">
      <formula>0</formula>
    </cfRule>
  </conditionalFormatting>
  <conditionalFormatting sqref="C2:C16">
    <cfRule type="cellIs" dxfId="299" priority="7" operator="greaterThan">
      <formula>0</formula>
    </cfRule>
  </conditionalFormatting>
  <conditionalFormatting sqref="C41:E61 C65:E65">
    <cfRule type="cellIs" dxfId="298" priority="6" operator="greaterThan">
      <formula>0</formula>
    </cfRule>
  </conditionalFormatting>
  <conditionalFormatting sqref="C22:E38">
    <cfRule type="cellIs" dxfId="297" priority="3" operator="greaterThan">
      <formula>0</formula>
    </cfRule>
  </conditionalFormatting>
  <conditionalFormatting sqref="C17:C19">
    <cfRule type="cellIs" dxfId="296" priority="2" operator="greaterThan">
      <formula>0</formula>
    </cfRule>
  </conditionalFormatting>
  <conditionalFormatting sqref="C62:E64">
    <cfRule type="cellIs" dxfId="29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L86"/>
  <sheetViews>
    <sheetView workbookViewId="0">
      <pane ySplit="26" topLeftCell="A69" activePane="bottomLeft" state="frozen"/>
      <selection pane="bottomLeft" activeCell="H72" sqref="H72"/>
    </sheetView>
  </sheetViews>
  <sheetFormatPr defaultRowHeight="11.25"/>
  <cols>
    <col min="2" max="2" width="57.6640625" customWidth="1"/>
    <col min="3" max="3" width="12" customWidth="1"/>
    <col min="4" max="4" width="12.33203125" customWidth="1"/>
    <col min="5" max="5" width="12.6640625" customWidth="1"/>
    <col min="6" max="6" width="21.83203125" customWidth="1"/>
    <col min="7" max="7" width="4.33203125" customWidth="1"/>
    <col min="8" max="8" width="46.33203125" customWidth="1"/>
    <col min="9" max="9" width="4.6640625" customWidth="1"/>
  </cols>
  <sheetData>
    <row r="1" spans="1:12" ht="63.75" customHeight="1" thickBot="1">
      <c r="A1" s="501"/>
      <c r="B1" s="1102"/>
      <c r="C1" s="1103"/>
      <c r="D1" s="1103"/>
      <c r="E1" s="1103"/>
      <c r="F1" s="501"/>
      <c r="G1" s="501"/>
      <c r="H1" s="501"/>
      <c r="I1" s="501"/>
      <c r="J1" s="501"/>
      <c r="K1" s="501"/>
      <c r="L1" s="501"/>
    </row>
    <row r="2" spans="1:12" ht="12" customHeight="1" thickBot="1">
      <c r="A2" s="501"/>
      <c r="B2" s="503" t="s">
        <v>746</v>
      </c>
      <c r="C2" s="671">
        <v>0</v>
      </c>
      <c r="D2" s="1047" t="s">
        <v>675</v>
      </c>
      <c r="E2" s="1048"/>
      <c r="F2" s="1049"/>
      <c r="G2" s="501"/>
      <c r="H2" s="505" t="s">
        <v>565</v>
      </c>
      <c r="I2" s="718" t="s">
        <v>684</v>
      </c>
      <c r="J2" s="506" t="s">
        <v>4</v>
      </c>
      <c r="K2" s="507" t="s">
        <v>8</v>
      </c>
      <c r="L2" s="501"/>
    </row>
    <row r="3" spans="1:12" ht="12" customHeight="1" thickBot="1">
      <c r="A3" s="501"/>
      <c r="B3" s="508" t="s">
        <v>747</v>
      </c>
      <c r="C3" s="672">
        <v>0</v>
      </c>
      <c r="D3" s="1050"/>
      <c r="E3" s="1051"/>
      <c r="F3" s="1052"/>
      <c r="G3" s="501"/>
      <c r="H3" s="509" t="s">
        <v>569</v>
      </c>
      <c r="I3" s="719" t="str">
        <f>IF(AND($C$7+$C$8+$C$11=1,$C$9+$C$10+$C$12=0,C13=1),"ДА","НЕТ")</f>
        <v>НЕТ</v>
      </c>
      <c r="J3" s="413"/>
      <c r="K3" s="414">
        <f>IF(I3="ДА",$C$21*J3,0)</f>
        <v>0</v>
      </c>
      <c r="L3" s="501"/>
    </row>
    <row r="4" spans="1:12" ht="12" customHeight="1">
      <c r="A4" s="501"/>
      <c r="B4" s="748" t="s">
        <v>589</v>
      </c>
      <c r="C4" s="679">
        <v>0</v>
      </c>
      <c r="D4" s="1110" t="s">
        <v>164</v>
      </c>
      <c r="E4" s="1111"/>
      <c r="F4" s="1112"/>
      <c r="G4" s="501"/>
      <c r="H4" s="514" t="s">
        <v>566</v>
      </c>
      <c r="I4" s="720" t="str">
        <f>IF(AND($C$7+$C$8+$C$11=1,$C$9+$C$10+$C$12=0,$C$13=3),"ДА","НЕТ")</f>
        <v>НЕТ</v>
      </c>
      <c r="J4" s="417"/>
      <c r="K4" s="418">
        <f t="shared" ref="K4:K19" si="0">IF(I4="ДА",$C$21*J4,0)</f>
        <v>0</v>
      </c>
      <c r="L4" s="501"/>
    </row>
    <row r="5" spans="1:12" ht="12" customHeight="1">
      <c r="A5" s="501"/>
      <c r="B5" s="749" t="s">
        <v>590</v>
      </c>
      <c r="C5" s="680">
        <v>0</v>
      </c>
      <c r="D5" s="1113"/>
      <c r="E5" s="1114"/>
      <c r="F5" s="1115"/>
      <c r="G5" s="501"/>
      <c r="H5" s="514" t="s">
        <v>671</v>
      </c>
      <c r="I5" s="720" t="str">
        <f>IF(AND($C$7+$C$8+$C$11=1,$C$9+$C$10+$C$12=0,$C$13=3),"ДА","НЕТ")</f>
        <v>НЕТ</v>
      </c>
      <c r="J5" s="417"/>
      <c r="K5" s="418">
        <f t="shared" si="0"/>
        <v>0</v>
      </c>
      <c r="L5" s="501"/>
    </row>
    <row r="6" spans="1:12" ht="12" customHeight="1" thickBot="1">
      <c r="A6" s="501"/>
      <c r="B6" s="750" t="s">
        <v>754</v>
      </c>
      <c r="C6" s="678">
        <v>0</v>
      </c>
      <c r="D6" s="1116"/>
      <c r="E6" s="1117"/>
      <c r="F6" s="1118"/>
      <c r="G6" s="501"/>
      <c r="H6" s="514" t="s">
        <v>567</v>
      </c>
      <c r="I6" s="720" t="str">
        <f>IF(AND($C$7+$C$8+$C$11=1,$C$9+$C$10+$C$12=0,$C$13=2),"ДА","НЕТ")</f>
        <v>НЕТ</v>
      </c>
      <c r="J6" s="417"/>
      <c r="K6" s="418">
        <f t="shared" si="0"/>
        <v>0</v>
      </c>
      <c r="L6" s="501"/>
    </row>
    <row r="7" spans="1:12" ht="12" customHeight="1">
      <c r="A7" s="501"/>
      <c r="B7" s="751" t="s">
        <v>578</v>
      </c>
      <c r="C7" s="674">
        <v>0</v>
      </c>
      <c r="D7" s="752" t="s">
        <v>365</v>
      </c>
      <c r="E7" s="753" t="s">
        <v>327</v>
      </c>
      <c r="F7" s="1119" t="s">
        <v>677</v>
      </c>
      <c r="G7" s="501"/>
      <c r="H7" s="514" t="s">
        <v>568</v>
      </c>
      <c r="I7" s="720" t="str">
        <f>IF(AND($C$7+$C$8+$C$11=1,$C$9+$C$10+$C$12=0,$C$13=2),"ДА","НЕТ")</f>
        <v>НЕТ</v>
      </c>
      <c r="J7" s="417"/>
      <c r="K7" s="418">
        <f t="shared" si="0"/>
        <v>0</v>
      </c>
      <c r="L7" s="501"/>
    </row>
    <row r="8" spans="1:12" ht="12" customHeight="1">
      <c r="A8" s="501"/>
      <c r="B8" s="749" t="s">
        <v>579</v>
      </c>
      <c r="C8" s="677">
        <v>0</v>
      </c>
      <c r="D8" s="754" t="s">
        <v>365</v>
      </c>
      <c r="E8" s="755" t="s">
        <v>327</v>
      </c>
      <c r="F8" s="1120"/>
      <c r="G8" s="501"/>
      <c r="H8" s="514" t="s">
        <v>574</v>
      </c>
      <c r="I8" s="720" t="str">
        <f>IF(AND($C$7+$C$8+$C$11=1,$C$9+$C$10+$C$12=0,$C$13=2),"ДА","НЕТ")</f>
        <v>НЕТ</v>
      </c>
      <c r="J8" s="417"/>
      <c r="K8" s="418">
        <f t="shared" si="0"/>
        <v>0</v>
      </c>
      <c r="L8" s="501"/>
    </row>
    <row r="9" spans="1:12" ht="12" customHeight="1">
      <c r="A9" s="501"/>
      <c r="B9" s="751" t="s">
        <v>580</v>
      </c>
      <c r="C9" s="674">
        <v>0</v>
      </c>
      <c r="D9" s="752" t="s">
        <v>365</v>
      </c>
      <c r="E9" s="753" t="s">
        <v>327</v>
      </c>
      <c r="F9" s="1120"/>
      <c r="G9" s="501"/>
      <c r="H9" s="509" t="s">
        <v>670</v>
      </c>
      <c r="I9" s="720" t="str">
        <f>IF(AND($C$7+$C$8+$C$11=1,$C$9+$C$10+$C$12=0,$C$13=1),"ДА","НЕТ")</f>
        <v>НЕТ</v>
      </c>
      <c r="J9" s="413"/>
      <c r="K9" s="414">
        <f t="shared" si="0"/>
        <v>0</v>
      </c>
      <c r="L9" s="501"/>
    </row>
    <row r="10" spans="1:12" ht="12" customHeight="1">
      <c r="A10" s="501"/>
      <c r="B10" s="749" t="s">
        <v>581</v>
      </c>
      <c r="C10" s="677">
        <v>0</v>
      </c>
      <c r="D10" s="754" t="s">
        <v>365</v>
      </c>
      <c r="E10" s="755" t="s">
        <v>327</v>
      </c>
      <c r="F10" s="1120"/>
      <c r="G10" s="501"/>
      <c r="H10" s="509" t="s">
        <v>462</v>
      </c>
      <c r="I10" s="720" t="str">
        <f>IF(AND($C$7+$C$8+$C$11+$C$12=0,$C$9+$C$10=1,$C$13=1),"ДА","НЕТ")</f>
        <v>НЕТ</v>
      </c>
      <c r="J10" s="420"/>
      <c r="K10" s="421">
        <f t="shared" si="0"/>
        <v>0</v>
      </c>
      <c r="L10" s="501"/>
    </row>
    <row r="11" spans="1:12" ht="12" customHeight="1">
      <c r="A11" s="501"/>
      <c r="B11" s="749" t="s">
        <v>667</v>
      </c>
      <c r="C11" s="677">
        <v>0</v>
      </c>
      <c r="D11" s="754" t="s">
        <v>365</v>
      </c>
      <c r="E11" s="755" t="s">
        <v>327</v>
      </c>
      <c r="F11" s="1120"/>
      <c r="G11" s="501"/>
      <c r="H11" s="512" t="s">
        <v>463</v>
      </c>
      <c r="I11" s="720" t="str">
        <f>IF(AND($C$7+$C$8+$C$11+$C$12=0,$C$9+$C$10=1,$C$13=1),"ДА","НЕТ")</f>
        <v>НЕТ</v>
      </c>
      <c r="J11" s="420"/>
      <c r="K11" s="421">
        <f t="shared" si="0"/>
        <v>0</v>
      </c>
      <c r="L11" s="501"/>
    </row>
    <row r="12" spans="1:12" ht="12" customHeight="1" thickBot="1">
      <c r="A12" s="501"/>
      <c r="B12" s="750" t="s">
        <v>668</v>
      </c>
      <c r="C12" s="681">
        <v>0</v>
      </c>
      <c r="D12" s="752" t="s">
        <v>365</v>
      </c>
      <c r="E12" s="753" t="s">
        <v>327</v>
      </c>
      <c r="F12" s="1121"/>
      <c r="G12" s="501"/>
      <c r="H12" s="512" t="s">
        <v>464</v>
      </c>
      <c r="I12" s="720" t="str">
        <f>IF(AND($C$7+$C$8+$C$11+$C$12=0,$C$9+$C$10=1,$C$13=1),"ДА","НЕТ")</f>
        <v>НЕТ</v>
      </c>
      <c r="J12" s="423"/>
      <c r="K12" s="421">
        <f t="shared" si="0"/>
        <v>0</v>
      </c>
      <c r="L12" s="501"/>
    </row>
    <row r="13" spans="1:12" ht="12" customHeight="1" thickBot="1">
      <c r="A13" s="501"/>
      <c r="B13" s="525" t="s">
        <v>669</v>
      </c>
      <c r="C13" s="644">
        <v>0</v>
      </c>
      <c r="D13" s="529" t="s">
        <v>699</v>
      </c>
      <c r="E13" s="530" t="s">
        <v>700</v>
      </c>
      <c r="F13" s="532" t="s">
        <v>701</v>
      </c>
      <c r="G13" s="501"/>
      <c r="H13" s="512" t="s">
        <v>672</v>
      </c>
      <c r="I13" s="720" t="str">
        <f>IF(AND($C$7+$C$8+$C$9+$C$10+$C$11=0,$C$12=1,$C$13=1),"ДА","НЕТ")</f>
        <v>НЕТ</v>
      </c>
      <c r="J13" s="423"/>
      <c r="K13" s="421">
        <f t="shared" si="0"/>
        <v>0</v>
      </c>
      <c r="L13" s="501"/>
    </row>
    <row r="14" spans="1:12" ht="12" customHeight="1" thickBot="1">
      <c r="A14" s="501"/>
      <c r="B14" s="756" t="s">
        <v>472</v>
      </c>
      <c r="C14" s="675">
        <v>0</v>
      </c>
      <c r="D14" s="757" t="s">
        <v>473</v>
      </c>
      <c r="E14" s="758" t="s">
        <v>474</v>
      </c>
      <c r="F14" s="1104"/>
      <c r="G14" s="501"/>
      <c r="H14" s="512" t="s">
        <v>672</v>
      </c>
      <c r="I14" s="720" t="str">
        <f>IF(AND($C$7+$C$8+$C$9+$C$10+$C$11=0,$C$12=1,$C$13=1),"ДА","НЕТ")</f>
        <v>НЕТ</v>
      </c>
      <c r="J14" s="423"/>
      <c r="K14" s="421">
        <f t="shared" si="0"/>
        <v>0</v>
      </c>
      <c r="L14" s="501"/>
    </row>
    <row r="15" spans="1:12" ht="12" customHeight="1" thickBot="1">
      <c r="A15" s="501"/>
      <c r="B15" s="759" t="s">
        <v>623</v>
      </c>
      <c r="C15" s="673">
        <v>0</v>
      </c>
      <c r="D15" s="760" t="s">
        <v>365</v>
      </c>
      <c r="E15" s="761" t="s">
        <v>327</v>
      </c>
      <c r="F15" s="1105"/>
      <c r="G15" s="501"/>
      <c r="H15" s="509" t="s">
        <v>467</v>
      </c>
      <c r="I15" s="720" t="str">
        <f>IF(AND($C$7+$C$8+$C$11+$C$12=0,$C$9+$C$10=1,$C$13=2),"ДА","НЕТ")</f>
        <v>НЕТ</v>
      </c>
      <c r="J15" s="420"/>
      <c r="K15" s="421">
        <f t="shared" si="0"/>
        <v>0</v>
      </c>
      <c r="L15" s="501"/>
    </row>
    <row r="16" spans="1:12" ht="12" customHeight="1" thickBot="1">
      <c r="A16" s="501"/>
      <c r="B16" s="759" t="s">
        <v>436</v>
      </c>
      <c r="C16" s="676">
        <v>0</v>
      </c>
      <c r="D16" s="760" t="s">
        <v>496</v>
      </c>
      <c r="E16" s="761" t="s">
        <v>497</v>
      </c>
      <c r="F16" s="1106"/>
      <c r="G16" s="501"/>
      <c r="H16" s="512" t="s">
        <v>468</v>
      </c>
      <c r="I16" s="720" t="str">
        <f>IF(AND($C$7+$C$8+$C$11+$C$12=0,$C$9+$C$10=1,$C$13=2),"ДА","НЕТ")</f>
        <v>НЕТ</v>
      </c>
      <c r="J16" s="420"/>
      <c r="K16" s="421">
        <f t="shared" si="0"/>
        <v>0</v>
      </c>
      <c r="L16" s="501"/>
    </row>
    <row r="17" spans="1:12" ht="12" customHeight="1">
      <c r="A17" s="501"/>
      <c r="B17" s="751" t="s">
        <v>439</v>
      </c>
      <c r="C17" s="674">
        <v>0</v>
      </c>
      <c r="D17" s="762" t="s">
        <v>365</v>
      </c>
      <c r="E17" s="763" t="s">
        <v>327</v>
      </c>
      <c r="F17" s="1055" t="s">
        <v>677</v>
      </c>
      <c r="G17" s="501"/>
      <c r="H17" s="512" t="s">
        <v>469</v>
      </c>
      <c r="I17" s="720" t="str">
        <f>IF(AND($C$7+$C$8+$C$11+$C$12=0,$C$9+$C$10=1,$C$13=2),"ДА","НЕТ")</f>
        <v>НЕТ</v>
      </c>
      <c r="J17" s="420"/>
      <c r="K17" s="418">
        <f t="shared" si="0"/>
        <v>0</v>
      </c>
      <c r="L17" s="501"/>
    </row>
    <row r="18" spans="1:12" ht="12" customHeight="1">
      <c r="A18" s="501"/>
      <c r="B18" s="749" t="s">
        <v>440</v>
      </c>
      <c r="C18" s="677">
        <v>0</v>
      </c>
      <c r="D18" s="754" t="s">
        <v>365</v>
      </c>
      <c r="E18" s="755" t="s">
        <v>327</v>
      </c>
      <c r="F18" s="1056"/>
      <c r="G18" s="501"/>
      <c r="H18" s="509" t="s">
        <v>673</v>
      </c>
      <c r="I18" s="719" t="str">
        <f>IF(AND($C$7+$C$8+$C$9+$C$10+$C$11=0,$C$12=1,$C$13=2),"ДА","НЕТ")</f>
        <v>НЕТ</v>
      </c>
      <c r="J18" s="424"/>
      <c r="K18" s="425">
        <f t="shared" si="0"/>
        <v>0</v>
      </c>
      <c r="L18" s="501"/>
    </row>
    <row r="19" spans="1:12" ht="12" customHeight="1" thickBot="1">
      <c r="A19" s="501"/>
      <c r="B19" s="749" t="s">
        <v>546</v>
      </c>
      <c r="C19" s="677">
        <v>0</v>
      </c>
      <c r="D19" s="754" t="s">
        <v>365</v>
      </c>
      <c r="E19" s="755" t="s">
        <v>327</v>
      </c>
      <c r="F19" s="1056"/>
      <c r="G19" s="501"/>
      <c r="H19" s="533" t="s">
        <v>674</v>
      </c>
      <c r="I19" s="730" t="str">
        <f>IF(AND($C$7+$C$8+$C$9+$C$10+$C$11=0,$C$12=1,$C$13=2),"ДА","НЕТ")</f>
        <v>НЕТ</v>
      </c>
      <c r="J19" s="427"/>
      <c r="K19" s="428">
        <f t="shared" si="0"/>
        <v>0</v>
      </c>
      <c r="L19" s="501"/>
    </row>
    <row r="20" spans="1:12" ht="12" customHeight="1" thickBot="1">
      <c r="A20" s="501"/>
      <c r="B20" s="749" t="s">
        <v>545</v>
      </c>
      <c r="C20" s="677">
        <v>0</v>
      </c>
      <c r="D20" s="764" t="s">
        <v>365</v>
      </c>
      <c r="E20" s="765" t="s">
        <v>327</v>
      </c>
      <c r="F20" s="1057"/>
      <c r="G20" s="501"/>
      <c r="H20" s="501"/>
      <c r="I20" s="501"/>
      <c r="J20" s="501"/>
      <c r="K20" s="501"/>
      <c r="L20" s="501"/>
    </row>
    <row r="21" spans="1:12" ht="12" customHeight="1" thickBot="1">
      <c r="A21" s="501"/>
      <c r="B21" s="759" t="s">
        <v>152</v>
      </c>
      <c r="C21" s="673">
        <v>0</v>
      </c>
      <c r="D21" s="1107" t="s">
        <v>755</v>
      </c>
      <c r="E21" s="1108"/>
      <c r="F21" s="1109"/>
      <c r="G21" s="501"/>
      <c r="H21" s="501"/>
      <c r="I21" s="501"/>
      <c r="J21" s="501"/>
      <c r="K21" s="501"/>
      <c r="L21" s="501"/>
    </row>
    <row r="22" spans="1:12" ht="12" customHeight="1" thickBot="1">
      <c r="A22" s="501"/>
      <c r="B22" s="766" t="s">
        <v>582</v>
      </c>
      <c r="C22" s="678">
        <v>0</v>
      </c>
      <c r="D22" s="1107" t="s">
        <v>620</v>
      </c>
      <c r="E22" s="1108"/>
      <c r="F22" s="1109"/>
      <c r="G22" s="501"/>
      <c r="H22" s="501"/>
      <c r="I22" s="501"/>
      <c r="J22" s="501"/>
      <c r="K22" s="501"/>
      <c r="L22" s="501"/>
    </row>
    <row r="23" spans="1:12" ht="12" customHeight="1">
      <c r="A23" s="501"/>
      <c r="B23" s="826" t="s">
        <v>205</v>
      </c>
      <c r="C23" s="560">
        <v>0</v>
      </c>
      <c r="D23" s="1059" t="s">
        <v>766</v>
      </c>
      <c r="E23" s="1059"/>
      <c r="F23" s="1060"/>
      <c r="G23" s="501"/>
      <c r="H23" s="501"/>
      <c r="I23" s="501"/>
      <c r="J23" s="501"/>
      <c r="K23" s="501"/>
      <c r="L23" s="501"/>
    </row>
    <row r="24" spans="1:12" ht="12" customHeight="1" thickBot="1">
      <c r="A24" s="501"/>
      <c r="B24" s="827" t="s">
        <v>204</v>
      </c>
      <c r="C24" s="559">
        <v>0</v>
      </c>
      <c r="D24" s="1065" t="s">
        <v>767</v>
      </c>
      <c r="E24" s="1065"/>
      <c r="F24" s="1066"/>
      <c r="G24" s="501"/>
      <c r="H24" s="501"/>
      <c r="I24" s="501"/>
      <c r="J24" s="501"/>
      <c r="K24" s="501"/>
      <c r="L24" s="501"/>
    </row>
    <row r="25" spans="1:12" ht="12" customHeight="1" thickBot="1">
      <c r="A25" s="501"/>
      <c r="B25" s="767"/>
      <c r="C25" s="767"/>
      <c r="D25" s="767"/>
      <c r="E25" s="767"/>
      <c r="F25" s="736"/>
      <c r="G25" s="501"/>
      <c r="H25" s="501"/>
      <c r="I25" s="501"/>
      <c r="J25" s="501"/>
      <c r="K25" s="501"/>
      <c r="L25" s="501"/>
    </row>
    <row r="26" spans="1:12" ht="12" customHeight="1" thickBot="1">
      <c r="A26" s="501"/>
      <c r="B26" s="768" t="s">
        <v>5</v>
      </c>
      <c r="C26" s="769" t="s">
        <v>0</v>
      </c>
      <c r="D26" s="770" t="s">
        <v>4</v>
      </c>
      <c r="E26" s="771" t="s">
        <v>8</v>
      </c>
      <c r="F26" s="772"/>
      <c r="G26" s="501"/>
      <c r="H26" s="501"/>
      <c r="I26" s="501"/>
      <c r="J26" s="501"/>
      <c r="K26" s="501"/>
      <c r="L26" s="501"/>
    </row>
    <row r="27" spans="1:12" ht="12" customHeight="1">
      <c r="A27" s="501"/>
      <c r="B27" s="773" t="s">
        <v>643</v>
      </c>
      <c r="C27" s="364">
        <f>C19*C21*(C4+C5+C6)</f>
        <v>0</v>
      </c>
      <c r="D27" s="356"/>
      <c r="E27" s="362">
        <f t="shared" ref="E27:E77" si="1">C27*D27</f>
        <v>0</v>
      </c>
      <c r="F27" s="774"/>
      <c r="G27" s="501"/>
      <c r="H27" s="501"/>
      <c r="I27" s="501"/>
      <c r="J27" s="501"/>
      <c r="K27" s="501"/>
      <c r="L27" s="501"/>
    </row>
    <row r="28" spans="1:12" ht="12" customHeight="1">
      <c r="A28" s="501"/>
      <c r="B28" s="775" t="s">
        <v>644</v>
      </c>
      <c r="C28" s="357">
        <f>C20*C21*(C4+C5+C6)</f>
        <v>0</v>
      </c>
      <c r="D28" s="353"/>
      <c r="E28" s="362">
        <f t="shared" si="1"/>
        <v>0</v>
      </c>
      <c r="F28" s="501"/>
      <c r="G28" s="501"/>
      <c r="H28" s="501"/>
      <c r="I28" s="501"/>
      <c r="J28" s="501"/>
      <c r="K28" s="501"/>
      <c r="L28" s="501"/>
    </row>
    <row r="29" spans="1:12" ht="12" customHeight="1">
      <c r="A29" s="501"/>
      <c r="B29" s="775" t="s">
        <v>122</v>
      </c>
      <c r="C29" s="357">
        <f>(C17+C18)*2*(C4+C5+C6)*C21</f>
        <v>0</v>
      </c>
      <c r="D29" s="353"/>
      <c r="E29" s="362">
        <f t="shared" si="1"/>
        <v>0</v>
      </c>
      <c r="F29" s="501"/>
      <c r="G29" s="501"/>
      <c r="H29" s="501"/>
      <c r="I29" s="501"/>
      <c r="J29" s="501"/>
      <c r="K29" s="501"/>
      <c r="L29" s="501"/>
    </row>
    <row r="30" spans="1:12" ht="12" customHeight="1">
      <c r="A30" s="501"/>
      <c r="B30" s="776" t="s">
        <v>538</v>
      </c>
      <c r="C30" s="358">
        <f>IF(AND(C7+C8+C11&gt;0,C9+C10+C12=0,C14=1,C16=0),C21*2,0)</f>
        <v>0</v>
      </c>
      <c r="D30" s="347"/>
      <c r="E30" s="362">
        <f t="shared" si="1"/>
        <v>0</v>
      </c>
      <c r="F30" s="501"/>
      <c r="G30" s="501"/>
      <c r="H30" s="501"/>
      <c r="I30" s="501"/>
      <c r="J30" s="501"/>
      <c r="K30" s="501"/>
      <c r="L30" s="501"/>
    </row>
    <row r="31" spans="1:12" ht="12" customHeight="1">
      <c r="A31" s="501"/>
      <c r="B31" s="776" t="s">
        <v>539</v>
      </c>
      <c r="C31" s="357">
        <f>IF(AND(C7+C8+C11&gt;0,C9+C10+C12=0,C14=1,C16=1),C21*2,0)</f>
        <v>0</v>
      </c>
      <c r="D31" s="348"/>
      <c r="E31" s="362">
        <f t="shared" si="1"/>
        <v>0</v>
      </c>
      <c r="F31" s="501"/>
      <c r="G31" s="501"/>
      <c r="H31" s="501"/>
      <c r="I31" s="501"/>
      <c r="J31" s="501"/>
      <c r="K31" s="501"/>
      <c r="L31" s="501"/>
    </row>
    <row r="32" spans="1:12" ht="12" customHeight="1">
      <c r="A32" s="501"/>
      <c r="B32" s="776" t="s">
        <v>499</v>
      </c>
      <c r="C32" s="358">
        <f>IF(AND(C7+C8+C11&gt;0,C9+C10+C12=0,C14=0,C16=0),C21*2,0)</f>
        <v>0</v>
      </c>
      <c r="D32" s="347"/>
      <c r="E32" s="362">
        <f t="shared" si="1"/>
        <v>0</v>
      </c>
      <c r="F32" s="501"/>
      <c r="G32" s="501"/>
      <c r="H32" s="501"/>
      <c r="I32" s="501"/>
      <c r="J32" s="501"/>
      <c r="K32" s="501"/>
      <c r="L32" s="501"/>
    </row>
    <row r="33" spans="1:12" ht="12" customHeight="1">
      <c r="A33" s="501"/>
      <c r="B33" s="776" t="s">
        <v>500</v>
      </c>
      <c r="C33" s="359">
        <f>IF(AND(C7+C8+C11&gt;0,C9+C10+C12=0,C14=0,C16=1),C21*2,0)</f>
        <v>0</v>
      </c>
      <c r="D33" s="349"/>
      <c r="E33" s="362">
        <f t="shared" si="1"/>
        <v>0</v>
      </c>
      <c r="F33" s="501"/>
      <c r="G33" s="501"/>
      <c r="H33" s="501"/>
      <c r="I33" s="501"/>
      <c r="J33" s="501"/>
      <c r="K33" s="501"/>
      <c r="L33" s="501"/>
    </row>
    <row r="34" spans="1:12" ht="12" customHeight="1">
      <c r="A34" s="501"/>
      <c r="B34" s="776" t="s">
        <v>538</v>
      </c>
      <c r="C34" s="358">
        <f>IF(AND(C7+C8+C11=0,C9+C10+C12&gt;0,C14=1,C16=0),C21,0)</f>
        <v>0</v>
      </c>
      <c r="D34" s="347"/>
      <c r="E34" s="362">
        <f t="shared" si="1"/>
        <v>0</v>
      </c>
      <c r="F34" s="501"/>
      <c r="G34" s="501"/>
      <c r="H34" s="501"/>
      <c r="I34" s="501"/>
      <c r="J34" s="501"/>
      <c r="K34" s="501"/>
      <c r="L34" s="501"/>
    </row>
    <row r="35" spans="1:12" ht="12" customHeight="1">
      <c r="A35" s="501"/>
      <c r="B35" s="776" t="s">
        <v>539</v>
      </c>
      <c r="C35" s="357">
        <f>IF(AND(C7+C8+C11=0,C9+C10+C12&gt;0,C14=1,C16=1),C21,0)</f>
        <v>0</v>
      </c>
      <c r="D35" s="348"/>
      <c r="E35" s="362">
        <f t="shared" si="1"/>
        <v>0</v>
      </c>
      <c r="F35" s="501"/>
      <c r="G35" s="501"/>
      <c r="H35" s="501"/>
      <c r="I35" s="501"/>
      <c r="J35" s="501"/>
      <c r="K35" s="501"/>
      <c r="L35" s="501"/>
    </row>
    <row r="36" spans="1:12" ht="12" customHeight="1">
      <c r="A36" s="501"/>
      <c r="B36" s="776" t="s">
        <v>499</v>
      </c>
      <c r="C36" s="358">
        <f>IF(AND(C7+C8+C11=0,C9+C10+C12&gt;0,C14=0,C16=0),C21,0)</f>
        <v>0</v>
      </c>
      <c r="D36" s="347"/>
      <c r="E36" s="362">
        <f t="shared" si="1"/>
        <v>0</v>
      </c>
      <c r="F36" s="501"/>
      <c r="G36" s="501"/>
      <c r="H36" s="501"/>
      <c r="I36" s="501"/>
      <c r="J36" s="501"/>
      <c r="K36" s="501"/>
      <c r="L36" s="501"/>
    </row>
    <row r="37" spans="1:12" ht="12" customHeight="1">
      <c r="A37" s="501"/>
      <c r="B37" s="776" t="s">
        <v>500</v>
      </c>
      <c r="C37" s="359">
        <f>IF(AND(C7+C8+C11=0,C9+C10+C12&gt;0,C14=0,C16=1),C21,0)</f>
        <v>0</v>
      </c>
      <c r="D37" s="349"/>
      <c r="E37" s="362">
        <f t="shared" si="1"/>
        <v>0</v>
      </c>
      <c r="F37" s="501"/>
      <c r="G37" s="501"/>
      <c r="H37" s="501"/>
      <c r="I37" s="501"/>
      <c r="J37" s="501"/>
      <c r="K37" s="501"/>
      <c r="L37" s="501"/>
    </row>
    <row r="38" spans="1:12" ht="12" customHeight="1">
      <c r="A38" s="501"/>
      <c r="B38" s="776" t="s">
        <v>593</v>
      </c>
      <c r="C38" s="358">
        <f>IF(AND(C7+C8+C11&gt;0,C9+C10+C12=0,C16=0),(((C4+C5+C6)-1)+C22)*C21,0)</f>
        <v>0</v>
      </c>
      <c r="D38" s="347"/>
      <c r="E38" s="362">
        <f t="shared" si="1"/>
        <v>0</v>
      </c>
      <c r="F38" s="501"/>
      <c r="G38" s="501"/>
      <c r="H38" s="501"/>
      <c r="I38" s="501"/>
      <c r="J38" s="501"/>
      <c r="K38" s="501"/>
      <c r="L38" s="501"/>
    </row>
    <row r="39" spans="1:12" ht="12" customHeight="1">
      <c r="A39" s="501"/>
      <c r="B39" s="776" t="s">
        <v>592</v>
      </c>
      <c r="C39" s="359">
        <f>IF(AND(C7+C8+C11&gt;0,C9+C10+C12=0,C16=1),(((C4+C5+C6)-1)+C22)*C21,0)</f>
        <v>0</v>
      </c>
      <c r="D39" s="349"/>
      <c r="E39" s="362">
        <f t="shared" si="1"/>
        <v>0</v>
      </c>
      <c r="F39" s="501"/>
      <c r="G39" s="501"/>
      <c r="H39" s="501"/>
      <c r="I39" s="501"/>
      <c r="J39" s="501"/>
      <c r="K39" s="501"/>
      <c r="L39" s="501"/>
    </row>
    <row r="40" spans="1:12" ht="12" customHeight="1">
      <c r="A40" s="501"/>
      <c r="B40" s="776" t="s">
        <v>593</v>
      </c>
      <c r="C40" s="358">
        <f>IF(AND(C7+C8+C11=0,C9+C10+C12&gt;0,C16=0),((C4+C5+C6)+C22)*C21,0)</f>
        <v>0</v>
      </c>
      <c r="D40" s="347"/>
      <c r="E40" s="362">
        <f t="shared" si="1"/>
        <v>0</v>
      </c>
      <c r="F40" s="619"/>
      <c r="G40" s="501"/>
      <c r="H40" s="501"/>
      <c r="I40" s="501"/>
      <c r="J40" s="501"/>
      <c r="K40" s="501"/>
      <c r="L40" s="501"/>
    </row>
    <row r="41" spans="1:12" ht="12" customHeight="1">
      <c r="A41" s="501"/>
      <c r="B41" s="776" t="s">
        <v>592</v>
      </c>
      <c r="C41" s="359">
        <f>IF(AND(C7+C8+C11=0,C9+C10+C12&gt;0,C16=1),((C4+C5+C6)+C22)*C21,0)</f>
        <v>0</v>
      </c>
      <c r="D41" s="349"/>
      <c r="E41" s="362">
        <f t="shared" si="1"/>
        <v>0</v>
      </c>
      <c r="F41" s="777"/>
      <c r="G41" s="501"/>
      <c r="H41" s="501"/>
      <c r="I41" s="501"/>
      <c r="J41" s="501"/>
      <c r="K41" s="501"/>
      <c r="L41" s="501"/>
    </row>
    <row r="42" spans="1:12" ht="12" customHeight="1">
      <c r="A42" s="501"/>
      <c r="B42" s="775" t="s">
        <v>722</v>
      </c>
      <c r="C42" s="359">
        <f>IF(C15=0,C21*2,0)</f>
        <v>0</v>
      </c>
      <c r="D42" s="349"/>
      <c r="E42" s="362">
        <f t="shared" si="1"/>
        <v>0</v>
      </c>
      <c r="F42" s="777"/>
      <c r="G42" s="501"/>
      <c r="H42" s="501"/>
      <c r="I42" s="501"/>
      <c r="J42" s="501"/>
      <c r="K42" s="501"/>
      <c r="L42" s="501"/>
    </row>
    <row r="43" spans="1:12" ht="12" customHeight="1">
      <c r="A43" s="501"/>
      <c r="B43" s="776" t="s">
        <v>724</v>
      </c>
      <c r="C43" s="358">
        <f>C15*C21*(C4+C5+C6+1+C22)</f>
        <v>0</v>
      </c>
      <c r="D43" s="351"/>
      <c r="E43" s="362">
        <f t="shared" si="1"/>
        <v>0</v>
      </c>
      <c r="F43" s="777"/>
      <c r="G43" s="501"/>
      <c r="H43" s="501"/>
      <c r="I43" s="501"/>
      <c r="J43" s="501"/>
      <c r="K43" s="501"/>
      <c r="L43" s="501"/>
    </row>
    <row r="44" spans="1:12" ht="12" customHeight="1">
      <c r="A44" s="501"/>
      <c r="B44" s="776" t="s">
        <v>594</v>
      </c>
      <c r="C44" s="358">
        <f>((C4+C5+C6)-1)*C21</f>
        <v>0</v>
      </c>
      <c r="D44" s="347"/>
      <c r="E44" s="362">
        <f t="shared" si="1"/>
        <v>0</v>
      </c>
      <c r="F44" s="777"/>
      <c r="G44" s="501"/>
      <c r="H44" s="501"/>
      <c r="I44" s="501"/>
      <c r="J44" s="501"/>
      <c r="K44" s="501"/>
      <c r="L44" s="501"/>
    </row>
    <row r="45" spans="1:12" ht="12" customHeight="1">
      <c r="A45" s="501"/>
      <c r="B45" s="778" t="s">
        <v>586</v>
      </c>
      <c r="C45" s="360">
        <f>((C4+C5+C6)-1+C22)*C21</f>
        <v>0</v>
      </c>
      <c r="D45" s="347"/>
      <c r="E45" s="362">
        <f t="shared" si="1"/>
        <v>0</v>
      </c>
      <c r="F45" s="777"/>
      <c r="G45" s="501"/>
      <c r="H45" s="501"/>
      <c r="I45" s="501"/>
      <c r="J45" s="501"/>
      <c r="K45" s="501"/>
      <c r="L45" s="501"/>
    </row>
    <row r="46" spans="1:12" ht="12" customHeight="1">
      <c r="A46" s="501"/>
      <c r="B46" s="778" t="s">
        <v>595</v>
      </c>
      <c r="C46" s="360">
        <f>((C4+C5+C6)-1+C22)*C21</f>
        <v>0</v>
      </c>
      <c r="D46" s="347"/>
      <c r="E46" s="362">
        <f t="shared" si="1"/>
        <v>0</v>
      </c>
      <c r="F46" s="777"/>
      <c r="G46" s="501"/>
      <c r="H46" s="501"/>
      <c r="I46" s="501"/>
      <c r="J46" s="501"/>
      <c r="K46" s="501"/>
      <c r="L46" s="501"/>
    </row>
    <row r="47" spans="1:12" ht="12" customHeight="1">
      <c r="A47" s="501"/>
      <c r="B47" s="778" t="s">
        <v>588</v>
      </c>
      <c r="C47" s="360">
        <f>C22*C21</f>
        <v>0</v>
      </c>
      <c r="D47" s="347"/>
      <c r="E47" s="362">
        <f t="shared" si="1"/>
        <v>0</v>
      </c>
      <c r="F47" s="777"/>
      <c r="G47" s="501"/>
      <c r="H47" s="501"/>
      <c r="I47" s="501"/>
      <c r="J47" s="501"/>
      <c r="K47" s="501"/>
      <c r="L47" s="501"/>
    </row>
    <row r="48" spans="1:12" ht="12" customHeight="1">
      <c r="A48" s="501"/>
      <c r="B48" s="776" t="s">
        <v>585</v>
      </c>
      <c r="C48" s="358">
        <f>((C4+C5+C6)-1)*C21</f>
        <v>0</v>
      </c>
      <c r="D48" s="347"/>
      <c r="E48" s="362">
        <f t="shared" si="1"/>
        <v>0</v>
      </c>
      <c r="F48" s="777"/>
      <c r="G48" s="501"/>
      <c r="H48" s="501"/>
      <c r="I48" s="501"/>
      <c r="J48" s="501"/>
      <c r="K48" s="501"/>
      <c r="L48" s="501"/>
    </row>
    <row r="49" spans="1:12" ht="12" customHeight="1">
      <c r="A49" s="501"/>
      <c r="B49" s="776" t="s">
        <v>511</v>
      </c>
      <c r="C49" s="357">
        <f>IF(C5+C6=0,(C44+C48+C68),0)</f>
        <v>0</v>
      </c>
      <c r="D49" s="348"/>
      <c r="E49" s="362">
        <f t="shared" si="1"/>
        <v>0</v>
      </c>
      <c r="F49" s="777"/>
      <c r="G49" s="501"/>
      <c r="H49" s="501"/>
      <c r="I49" s="501"/>
      <c r="J49" s="501"/>
      <c r="K49" s="501"/>
      <c r="L49" s="501"/>
    </row>
    <row r="50" spans="1:12" ht="12" customHeight="1">
      <c r="A50" s="501"/>
      <c r="B50" s="776" t="s">
        <v>512</v>
      </c>
      <c r="C50" s="358">
        <f>IF(AND(C5+C6=0,C4&gt;0),(C44+C48+C68)+1,0)</f>
        <v>0</v>
      </c>
      <c r="D50" s="347"/>
      <c r="E50" s="362">
        <f t="shared" si="1"/>
        <v>0</v>
      </c>
      <c r="F50" s="777"/>
      <c r="G50" s="501"/>
      <c r="H50" s="501"/>
      <c r="I50" s="501"/>
      <c r="J50" s="501"/>
      <c r="K50" s="501"/>
      <c r="L50" s="501"/>
    </row>
    <row r="51" spans="1:12" ht="12" customHeight="1">
      <c r="A51" s="501"/>
      <c r="B51" s="776" t="s">
        <v>680</v>
      </c>
      <c r="C51" s="358">
        <f>IF(AND(C4+C5=0,C6&gt;0),(C44+C48+C68),0)</f>
        <v>0</v>
      </c>
      <c r="D51" s="347"/>
      <c r="E51" s="362">
        <f>C51*D51</f>
        <v>0</v>
      </c>
      <c r="F51" s="777"/>
      <c r="G51" s="501"/>
      <c r="H51" s="501"/>
      <c r="I51" s="501"/>
      <c r="J51" s="501"/>
      <c r="K51" s="501"/>
      <c r="L51" s="501"/>
    </row>
    <row r="52" spans="1:12" ht="12" customHeight="1">
      <c r="A52" s="501"/>
      <c r="B52" s="776" t="s">
        <v>513</v>
      </c>
      <c r="C52" s="358">
        <f>IF(AND(C4=0,(C5+C6)&gt;0),(C44+C48+C68),0)</f>
        <v>0</v>
      </c>
      <c r="D52" s="347"/>
      <c r="E52" s="362">
        <f t="shared" si="1"/>
        <v>0</v>
      </c>
      <c r="F52" s="777"/>
      <c r="G52" s="501"/>
      <c r="H52" s="501"/>
      <c r="I52" s="501"/>
      <c r="J52" s="501"/>
      <c r="K52" s="501"/>
      <c r="L52" s="501"/>
    </row>
    <row r="53" spans="1:12" ht="12" customHeight="1">
      <c r="A53" s="501"/>
      <c r="B53" s="775" t="s">
        <v>553</v>
      </c>
      <c r="C53" s="358">
        <f>C2*C21</f>
        <v>0</v>
      </c>
      <c r="D53" s="347"/>
      <c r="E53" s="362">
        <f t="shared" si="1"/>
        <v>0</v>
      </c>
      <c r="F53" s="501"/>
      <c r="G53" s="501"/>
      <c r="H53" s="501"/>
      <c r="I53" s="501"/>
      <c r="J53" s="501"/>
      <c r="K53" s="501"/>
      <c r="L53" s="501"/>
    </row>
    <row r="54" spans="1:12" ht="12" customHeight="1">
      <c r="A54" s="501"/>
      <c r="B54" s="775" t="s">
        <v>553</v>
      </c>
      <c r="C54" s="358">
        <f>C2*C19*C21</f>
        <v>0</v>
      </c>
      <c r="D54" s="351"/>
      <c r="E54" s="362">
        <f t="shared" si="1"/>
        <v>0</v>
      </c>
      <c r="F54" s="501"/>
      <c r="G54" s="501"/>
      <c r="H54" s="501"/>
      <c r="I54" s="501"/>
      <c r="J54" s="501"/>
      <c r="K54" s="501"/>
      <c r="L54" s="501"/>
    </row>
    <row r="55" spans="1:12" ht="12" customHeight="1">
      <c r="A55" s="501"/>
      <c r="B55" s="776" t="s">
        <v>441</v>
      </c>
      <c r="C55" s="358">
        <f>C18*2*C2*C21</f>
        <v>0</v>
      </c>
      <c r="D55" s="351"/>
      <c r="E55" s="362">
        <f t="shared" si="1"/>
        <v>0</v>
      </c>
      <c r="F55" s="501"/>
      <c r="G55" s="501"/>
      <c r="H55" s="501"/>
      <c r="I55" s="501"/>
      <c r="J55" s="501"/>
      <c r="K55" s="501"/>
      <c r="L55" s="501"/>
    </row>
    <row r="56" spans="1:12" ht="12" customHeight="1">
      <c r="A56" s="501"/>
      <c r="B56" s="776" t="s">
        <v>556</v>
      </c>
      <c r="C56" s="358">
        <f>(C17+C20)*C2</f>
        <v>0</v>
      </c>
      <c r="D56" s="347"/>
      <c r="E56" s="362">
        <f t="shared" si="1"/>
        <v>0</v>
      </c>
      <c r="F56" s="501"/>
      <c r="G56" s="501"/>
      <c r="H56" s="501"/>
      <c r="I56" s="501"/>
      <c r="J56" s="501"/>
      <c r="K56" s="501"/>
      <c r="L56" s="501"/>
    </row>
    <row r="57" spans="1:12" ht="12" customHeight="1">
      <c r="A57" s="501"/>
      <c r="B57" s="776" t="s">
        <v>546</v>
      </c>
      <c r="C57" s="358">
        <f>C21*C2*C19</f>
        <v>0</v>
      </c>
      <c r="D57" s="347"/>
      <c r="E57" s="362">
        <f t="shared" si="1"/>
        <v>0</v>
      </c>
      <c r="F57" s="779"/>
      <c r="G57" s="501"/>
      <c r="H57" s="501"/>
      <c r="I57" s="501"/>
      <c r="J57" s="501"/>
      <c r="K57" s="501"/>
      <c r="L57" s="501"/>
    </row>
    <row r="58" spans="1:12" ht="12" customHeight="1">
      <c r="A58" s="501"/>
      <c r="B58" s="776" t="s">
        <v>725</v>
      </c>
      <c r="C58" s="358">
        <f>C20*C2*C21</f>
        <v>0</v>
      </c>
      <c r="D58" s="351"/>
      <c r="E58" s="362">
        <f t="shared" si="1"/>
        <v>0</v>
      </c>
      <c r="F58" s="779"/>
      <c r="G58" s="501"/>
      <c r="H58" s="501"/>
      <c r="I58" s="501"/>
      <c r="J58" s="501"/>
      <c r="K58" s="501"/>
      <c r="L58" s="501"/>
    </row>
    <row r="59" spans="1:12" ht="12" customHeight="1">
      <c r="A59" s="501"/>
      <c r="B59" s="776" t="s">
        <v>442</v>
      </c>
      <c r="C59" s="358">
        <f>C2*C17*C21</f>
        <v>0</v>
      </c>
      <c r="D59" s="351"/>
      <c r="E59" s="362">
        <f t="shared" si="1"/>
        <v>0</v>
      </c>
      <c r="F59" s="779"/>
      <c r="G59" s="501"/>
      <c r="H59" s="501"/>
      <c r="I59" s="501"/>
      <c r="J59" s="501"/>
      <c r="K59" s="501"/>
      <c r="L59" s="501"/>
    </row>
    <row r="60" spans="1:12" ht="12" customHeight="1">
      <c r="A60" s="501"/>
      <c r="B60" s="776" t="s">
        <v>443</v>
      </c>
      <c r="C60" s="365">
        <f>C2*C18*C21</f>
        <v>0</v>
      </c>
      <c r="D60" s="351"/>
      <c r="E60" s="362">
        <f t="shared" si="1"/>
        <v>0</v>
      </c>
      <c r="F60" s="779"/>
      <c r="G60" s="501"/>
      <c r="H60" s="501"/>
      <c r="I60" s="501"/>
      <c r="J60" s="501"/>
      <c r="K60" s="501"/>
      <c r="L60" s="501"/>
    </row>
    <row r="61" spans="1:12" ht="12" customHeight="1">
      <c r="A61" s="501"/>
      <c r="B61" s="776" t="s">
        <v>503</v>
      </c>
      <c r="C61" s="359">
        <f>C43*2</f>
        <v>0</v>
      </c>
      <c r="D61" s="352"/>
      <c r="E61" s="362">
        <f t="shared" si="1"/>
        <v>0</v>
      </c>
      <c r="F61" s="779"/>
      <c r="G61" s="501"/>
      <c r="H61" s="501"/>
      <c r="I61" s="501"/>
      <c r="J61" s="501"/>
      <c r="K61" s="501"/>
      <c r="L61" s="501"/>
    </row>
    <row r="62" spans="1:12" ht="12" customHeight="1">
      <c r="A62" s="501"/>
      <c r="B62" s="776" t="s">
        <v>723</v>
      </c>
      <c r="C62" s="359">
        <f>IF(C15=1,C21*2,0)</f>
        <v>0</v>
      </c>
      <c r="D62" s="352"/>
      <c r="E62" s="362">
        <f t="shared" si="1"/>
        <v>0</v>
      </c>
      <c r="F62" s="779"/>
      <c r="G62" s="501"/>
      <c r="H62" s="501"/>
      <c r="I62" s="501"/>
      <c r="J62" s="501"/>
      <c r="K62" s="501"/>
      <c r="L62" s="501"/>
    </row>
    <row r="63" spans="1:12" ht="12" customHeight="1">
      <c r="A63" s="501"/>
      <c r="B63" s="776" t="s">
        <v>721</v>
      </c>
      <c r="C63" s="358">
        <f>EVEN(ROUNDDOWN(IF(C15=1,C2*C21/0.5,0),0))</f>
        <v>0</v>
      </c>
      <c r="D63" s="351"/>
      <c r="E63" s="362">
        <f t="shared" si="1"/>
        <v>0</v>
      </c>
      <c r="F63" s="779"/>
      <c r="G63" s="501"/>
      <c r="H63" s="501"/>
      <c r="I63" s="501"/>
      <c r="J63" s="501"/>
      <c r="K63" s="501"/>
      <c r="L63" s="501"/>
    </row>
    <row r="64" spans="1:12" ht="12" customHeight="1">
      <c r="A64" s="501"/>
      <c r="B64" s="775" t="s">
        <v>756</v>
      </c>
      <c r="C64" s="365">
        <f>C15*C2*C21</f>
        <v>0</v>
      </c>
      <c r="D64" s="351"/>
      <c r="E64" s="362">
        <f t="shared" si="1"/>
        <v>0</v>
      </c>
      <c r="F64" s="779"/>
      <c r="G64" s="501"/>
      <c r="H64" s="501"/>
      <c r="I64" s="501"/>
      <c r="J64" s="501"/>
      <c r="K64" s="501"/>
      <c r="L64" s="501"/>
    </row>
    <row r="65" spans="1:12" ht="12" customHeight="1">
      <c r="A65" s="501"/>
      <c r="B65" s="775" t="s">
        <v>540</v>
      </c>
      <c r="C65" s="365">
        <f>IF(AND(C4&gt;0,C5+C6=0),C2*C21,0)</f>
        <v>0</v>
      </c>
      <c r="D65" s="347"/>
      <c r="E65" s="362">
        <f t="shared" si="1"/>
        <v>0</v>
      </c>
      <c r="F65" s="779"/>
      <c r="G65" s="501"/>
      <c r="H65" s="501"/>
      <c r="I65" s="501"/>
      <c r="J65" s="501"/>
      <c r="K65" s="501"/>
      <c r="L65" s="501"/>
    </row>
    <row r="66" spans="1:12" ht="12" customHeight="1">
      <c r="A66" s="501"/>
      <c r="B66" s="775" t="s">
        <v>541</v>
      </c>
      <c r="C66" s="365">
        <f>IF(AND(C5&gt;0,C4+C6=0),C2*C21,0)</f>
        <v>0</v>
      </c>
      <c r="D66" s="347"/>
      <c r="E66" s="362">
        <f t="shared" si="1"/>
        <v>0</v>
      </c>
      <c r="F66" s="779"/>
      <c r="G66" s="501"/>
      <c r="H66" s="501"/>
      <c r="I66" s="501"/>
      <c r="J66" s="501"/>
      <c r="K66" s="501"/>
      <c r="L66" s="501"/>
    </row>
    <row r="67" spans="1:12" ht="12" customHeight="1">
      <c r="A67" s="501"/>
      <c r="B67" s="775" t="s">
        <v>681</v>
      </c>
      <c r="C67" s="365">
        <f>IF(AND(C6&gt;0,(C4+C5)=0),C2*C21,0)</f>
        <v>0</v>
      </c>
      <c r="D67" s="347"/>
      <c r="E67" s="362">
        <f>C67*D67</f>
        <v>0</v>
      </c>
      <c r="F67" s="779"/>
      <c r="G67" s="501"/>
      <c r="H67" s="501"/>
      <c r="I67" s="501"/>
      <c r="J67" s="501"/>
      <c r="K67" s="501"/>
      <c r="L67" s="501"/>
    </row>
    <row r="68" spans="1:12" ht="12" customHeight="1">
      <c r="A68" s="501"/>
      <c r="B68" s="776" t="s">
        <v>727</v>
      </c>
      <c r="C68" s="365">
        <f>C21</f>
        <v>0</v>
      </c>
      <c r="D68" s="347"/>
      <c r="E68" s="362">
        <f t="shared" si="1"/>
        <v>0</v>
      </c>
      <c r="F68" s="779"/>
      <c r="G68" s="501"/>
      <c r="H68" s="501"/>
      <c r="I68" s="501"/>
      <c r="J68" s="501"/>
      <c r="K68" s="501"/>
      <c r="L68" s="501"/>
    </row>
    <row r="69" spans="1:12" ht="12" customHeight="1">
      <c r="A69" s="501"/>
      <c r="B69" s="548" t="s">
        <v>682</v>
      </c>
      <c r="C69" s="450">
        <f>C11*C21</f>
        <v>0</v>
      </c>
      <c r="D69" s="443"/>
      <c r="E69" s="439">
        <f t="shared" si="1"/>
        <v>0</v>
      </c>
      <c r="F69" s="779"/>
      <c r="G69" s="501"/>
      <c r="H69" s="501"/>
      <c r="I69" s="501"/>
      <c r="J69" s="501"/>
      <c r="K69" s="501"/>
      <c r="L69" s="501"/>
    </row>
    <row r="70" spans="1:12" ht="12" customHeight="1">
      <c r="A70" s="501"/>
      <c r="B70" s="548" t="s">
        <v>683</v>
      </c>
      <c r="C70" s="450">
        <f>C12*C21</f>
        <v>0</v>
      </c>
      <c r="D70" s="443"/>
      <c r="E70" s="439">
        <f t="shared" si="1"/>
        <v>0</v>
      </c>
      <c r="F70" s="779"/>
      <c r="G70" s="501"/>
      <c r="H70" s="501"/>
      <c r="I70" s="501"/>
      <c r="J70" s="501"/>
      <c r="K70" s="501"/>
      <c r="L70" s="501"/>
    </row>
    <row r="71" spans="1:12" ht="12" customHeight="1">
      <c r="A71" s="501"/>
      <c r="B71" s="780" t="s">
        <v>456</v>
      </c>
      <c r="C71" s="365">
        <f>C7*C21</f>
        <v>0</v>
      </c>
      <c r="D71" s="347"/>
      <c r="E71" s="362">
        <f t="shared" si="1"/>
        <v>0</v>
      </c>
      <c r="F71" s="501"/>
      <c r="G71" s="501"/>
      <c r="H71" s="501"/>
      <c r="I71" s="501"/>
      <c r="J71" s="501"/>
      <c r="K71" s="501"/>
      <c r="L71" s="501"/>
    </row>
    <row r="72" spans="1:12" ht="12" customHeight="1">
      <c r="A72" s="501"/>
      <c r="B72" s="778" t="s">
        <v>514</v>
      </c>
      <c r="C72" s="365">
        <f>C9*C21</f>
        <v>0</v>
      </c>
      <c r="D72" s="347"/>
      <c r="E72" s="362">
        <f t="shared" si="1"/>
        <v>0</v>
      </c>
      <c r="F72" s="501"/>
      <c r="G72" s="501"/>
      <c r="H72" s="501"/>
      <c r="I72" s="501"/>
      <c r="J72" s="501"/>
      <c r="K72" s="501"/>
      <c r="L72" s="501"/>
    </row>
    <row r="73" spans="1:12" ht="12" customHeight="1">
      <c r="A73" s="501"/>
      <c r="B73" s="778" t="s">
        <v>515</v>
      </c>
      <c r="C73" s="365">
        <f>C8*C21</f>
        <v>0</v>
      </c>
      <c r="D73" s="347"/>
      <c r="E73" s="362">
        <f t="shared" si="1"/>
        <v>0</v>
      </c>
      <c r="F73" s="501"/>
      <c r="G73" s="501"/>
      <c r="H73" s="501"/>
      <c r="I73" s="501"/>
      <c r="J73" s="501"/>
      <c r="K73" s="501"/>
      <c r="L73" s="501"/>
    </row>
    <row r="74" spans="1:12" ht="12" customHeight="1">
      <c r="A74" s="501"/>
      <c r="B74" s="1126" t="s">
        <v>762</v>
      </c>
      <c r="C74" s="360">
        <f>IF(C4+C5+C6&gt;0,C4+C5+C6-1,0)</f>
        <v>0</v>
      </c>
      <c r="D74" s="1127"/>
      <c r="E74" s="1128">
        <f t="shared" si="1"/>
        <v>0</v>
      </c>
      <c r="F74" s="501"/>
      <c r="G74" s="501"/>
      <c r="H74" s="501"/>
      <c r="I74" s="501"/>
      <c r="J74" s="501"/>
      <c r="K74" s="501"/>
      <c r="L74" s="501"/>
    </row>
    <row r="75" spans="1:12" ht="12" customHeight="1">
      <c r="A75" s="501"/>
      <c r="B75" s="621" t="s">
        <v>203</v>
      </c>
      <c r="C75" s="602">
        <f>C24</f>
        <v>0</v>
      </c>
      <c r="D75" s="618"/>
      <c r="E75" s="496">
        <f t="shared" si="1"/>
        <v>0</v>
      </c>
      <c r="F75" s="501"/>
      <c r="G75" s="501"/>
      <c r="H75" s="501"/>
      <c r="I75" s="501"/>
      <c r="J75" s="501"/>
      <c r="K75" s="501"/>
      <c r="L75" s="501"/>
    </row>
    <row r="76" spans="1:12" ht="12" customHeight="1">
      <c r="A76" s="501"/>
      <c r="B76" s="621" t="s">
        <v>206</v>
      </c>
      <c r="C76" s="602">
        <f>C23</f>
        <v>0</v>
      </c>
      <c r="D76" s="618"/>
      <c r="E76" s="496">
        <f t="shared" si="1"/>
        <v>0</v>
      </c>
      <c r="F76" s="501"/>
      <c r="G76" s="501"/>
      <c r="H76" s="501"/>
      <c r="I76" s="501"/>
      <c r="J76" s="501"/>
      <c r="K76" s="501"/>
      <c r="L76" s="501"/>
    </row>
    <row r="77" spans="1:12" ht="12" customHeight="1" thickBot="1">
      <c r="A77" s="501"/>
      <c r="B77" s="781" t="s">
        <v>516</v>
      </c>
      <c r="C77" s="361">
        <f>C10*C21</f>
        <v>0</v>
      </c>
      <c r="D77" s="350"/>
      <c r="E77" s="363">
        <f t="shared" si="1"/>
        <v>0</v>
      </c>
      <c r="F77" s="501"/>
      <c r="G77" s="501"/>
      <c r="H77" s="501"/>
      <c r="I77" s="501"/>
      <c r="J77" s="501"/>
      <c r="K77" s="501"/>
      <c r="L77" s="501"/>
    </row>
    <row r="78" spans="1:12" ht="12" customHeight="1" thickBot="1">
      <c r="A78" s="501"/>
      <c r="B78" s="501"/>
      <c r="C78" s="501"/>
      <c r="D78" s="782" t="s">
        <v>9</v>
      </c>
      <c r="E78" s="783">
        <f>SUMIF(E27:E77,"&gt;0",E27:E77)</f>
        <v>0</v>
      </c>
      <c r="F78" s="501"/>
      <c r="G78" s="501"/>
      <c r="H78" s="501"/>
      <c r="I78" s="501"/>
      <c r="J78" s="501"/>
      <c r="K78" s="501"/>
      <c r="L78" s="501"/>
    </row>
    <row r="79" spans="1:12">
      <c r="A79" s="501"/>
      <c r="B79" s="501"/>
      <c r="C79" s="501"/>
      <c r="D79" s="501"/>
      <c r="E79" s="501"/>
      <c r="F79" s="501"/>
      <c r="G79" s="501"/>
      <c r="H79" s="501"/>
      <c r="I79" s="501"/>
      <c r="J79" s="501"/>
      <c r="K79" s="501"/>
      <c r="L79" s="501"/>
    </row>
    <row r="80" spans="1:12">
      <c r="A80" s="501"/>
      <c r="B80" s="501"/>
      <c r="C80" s="501"/>
      <c r="D80" s="501"/>
      <c r="E80" s="501"/>
      <c r="F80" s="501"/>
      <c r="G80" s="501"/>
      <c r="H80" s="501"/>
      <c r="I80" s="501"/>
      <c r="J80" s="501"/>
      <c r="K80" s="501"/>
      <c r="L80" s="501"/>
    </row>
    <row r="81" spans="1:12" ht="11.25" customHeight="1">
      <c r="A81" s="501"/>
      <c r="B81" s="501"/>
      <c r="C81" s="501"/>
      <c r="D81" s="501"/>
      <c r="E81" s="501"/>
      <c r="F81" s="501"/>
      <c r="G81" s="501"/>
      <c r="H81" s="501"/>
      <c r="I81" s="501"/>
      <c r="J81" s="501"/>
      <c r="K81" s="501"/>
      <c r="L81" s="501"/>
    </row>
    <row r="82" spans="1:12">
      <c r="A82" s="501"/>
      <c r="B82" s="501"/>
      <c r="C82" s="501"/>
      <c r="D82" s="501"/>
      <c r="E82" s="501"/>
      <c r="F82" s="501"/>
      <c r="G82" s="501"/>
      <c r="H82" s="501"/>
      <c r="I82" s="501"/>
      <c r="J82" s="501"/>
      <c r="K82" s="501"/>
      <c r="L82" s="501"/>
    </row>
    <row r="83" spans="1:12">
      <c r="A83" s="501"/>
      <c r="B83" s="501"/>
      <c r="C83" s="501"/>
      <c r="D83" s="501"/>
      <c r="E83" s="501"/>
      <c r="F83" s="501"/>
      <c r="G83" s="501"/>
      <c r="H83" s="501"/>
      <c r="I83" s="501"/>
      <c r="J83" s="501"/>
      <c r="K83" s="501"/>
      <c r="L83" s="501"/>
    </row>
    <row r="84" spans="1:12">
      <c r="A84" s="501"/>
      <c r="B84" s="501"/>
      <c r="C84" s="501"/>
      <c r="D84" s="501"/>
      <c r="E84" s="501"/>
      <c r="F84" s="501"/>
      <c r="G84" s="501"/>
      <c r="H84" s="501"/>
      <c r="I84" s="501"/>
      <c r="J84" s="501"/>
      <c r="K84" s="501"/>
      <c r="L84" s="501"/>
    </row>
    <row r="86" spans="1:12" ht="11.25" customHeight="1"/>
  </sheetData>
  <sheetProtection algorithmName="SHA-512" hashValue="ff3qq3nF8X+/P5NZ7xixtUZ8NHUEzfrT/4dnks/q75zostjuxSbnAnuGUKeHZTMMi1+laM7qS8t78wWBOPslxg==" saltValue="jJRwrJCBsnRr5vPNOfIRcA==" spinCount="100000" sheet="1"/>
  <mergeCells count="10">
    <mergeCell ref="D23:F23"/>
    <mergeCell ref="D24:F24"/>
    <mergeCell ref="F14:F16"/>
    <mergeCell ref="D22:F22"/>
    <mergeCell ref="B1:E1"/>
    <mergeCell ref="D2:F3"/>
    <mergeCell ref="D4:F6"/>
    <mergeCell ref="F7:F12"/>
    <mergeCell ref="F17:F20"/>
    <mergeCell ref="D21:F21"/>
  </mergeCells>
  <conditionalFormatting sqref="C13">
    <cfRule type="cellIs" dxfId="294" priority="48" operator="greaterThan">
      <formula>0</formula>
    </cfRule>
  </conditionalFormatting>
  <conditionalFormatting sqref="C13">
    <cfRule type="cellIs" dxfId="293" priority="47" operator="greaterThan">
      <formula>0</formula>
    </cfRule>
  </conditionalFormatting>
  <conditionalFormatting sqref="C69:E69">
    <cfRule type="cellIs" dxfId="292" priority="46" operator="greaterThan">
      <formula>0</formula>
    </cfRule>
  </conditionalFormatting>
  <conditionalFormatting sqref="C70:E70">
    <cfRule type="cellIs" dxfId="291" priority="45" operator="greaterThan">
      <formula>0</formula>
    </cfRule>
  </conditionalFormatting>
  <conditionalFormatting sqref="C69:E70">
    <cfRule type="cellIs" dxfId="290" priority="44" operator="greaterThan">
      <formula>0</formula>
    </cfRule>
  </conditionalFormatting>
  <conditionalFormatting sqref="J3:J19">
    <cfRule type="cellIs" dxfId="289" priority="17" operator="greaterThan">
      <formula>0</formula>
    </cfRule>
    <cfRule type="cellIs" dxfId="288" priority="18" operator="greaterThan">
      <formula>0</formula>
    </cfRule>
  </conditionalFormatting>
  <conditionalFormatting sqref="H10:H12">
    <cfRule type="iconSet" priority="42">
      <iconSet iconSet="3Symbols">
        <cfvo type="percent" val="0"/>
        <cfvo type="percent" val="33"/>
        <cfvo type="percent" val="67"/>
      </iconSet>
    </cfRule>
    <cfRule type="expression" priority="43">
      <formula>"H71=1"</formula>
    </cfRule>
  </conditionalFormatting>
  <conditionalFormatting sqref="H10">
    <cfRule type="iconSet" priority="41">
      <iconSet iconSet="3Symbols">
        <cfvo type="percent" val="0"/>
        <cfvo type="percent" val="33"/>
        <cfvo type="percent" val="67"/>
      </iconSet>
    </cfRule>
  </conditionalFormatting>
  <conditionalFormatting sqref="I3:I4 I10:I12 I15:I17 I6:I8">
    <cfRule type="cellIs" dxfId="287" priority="38" operator="equal">
      <formula>"ДА"</formula>
    </cfRule>
    <cfRule type="cellIs" dxfId="286" priority="39" operator="equal">
      <formula>"НЕТ"</formula>
    </cfRule>
  </conditionalFormatting>
  <conditionalFormatting sqref="I3:I4 I6:I8">
    <cfRule type="colorScale" priority="40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285" priority="35" operator="equal">
      <formula>"ДА"</formula>
    </cfRule>
    <cfRule type="cellIs" dxfId="284" priority="36" operator="equal">
      <formula>"НЕТ"</formula>
    </cfRule>
  </conditionalFormatting>
  <conditionalFormatting sqref="I5">
    <cfRule type="cellIs" dxfId="283" priority="32" operator="equal">
      <formula>"ДА"</formula>
    </cfRule>
    <cfRule type="cellIs" dxfId="282" priority="33" operator="equal">
      <formula>"НЕТ"</formula>
    </cfRule>
  </conditionalFormatting>
  <conditionalFormatting sqref="I9">
    <cfRule type="colorScale" priority="37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281" priority="28" operator="equal">
      <formula>"ДА"</formula>
    </cfRule>
    <cfRule type="cellIs" dxfId="280" priority="29" operator="equal">
      <formula>"НЕТ"</formula>
    </cfRule>
  </conditionalFormatting>
  <conditionalFormatting sqref="I5">
    <cfRule type="colorScale" priority="34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30">
      <iconSet iconSet="3Symbols">
        <cfvo type="percent" val="0"/>
        <cfvo type="percent" val="33"/>
        <cfvo type="percent" val="67"/>
      </iconSet>
    </cfRule>
    <cfRule type="expression" priority="31">
      <formula>"H71=1"</formula>
    </cfRule>
  </conditionalFormatting>
  <conditionalFormatting sqref="I14">
    <cfRule type="cellIs" dxfId="279" priority="24" operator="equal">
      <formula>"ДА"</formula>
    </cfRule>
    <cfRule type="cellIs" dxfId="278" priority="25" operator="equal">
      <formula>"НЕТ"</formula>
    </cfRule>
  </conditionalFormatting>
  <conditionalFormatting sqref="H14">
    <cfRule type="iconSet" priority="26">
      <iconSet iconSet="3Symbols">
        <cfvo type="percent" val="0"/>
        <cfvo type="percent" val="33"/>
        <cfvo type="percent" val="67"/>
      </iconSet>
    </cfRule>
    <cfRule type="expression" priority="27">
      <formula>"H71=1"</formula>
    </cfRule>
  </conditionalFormatting>
  <conditionalFormatting sqref="I18">
    <cfRule type="cellIs" dxfId="277" priority="22" operator="equal">
      <formula>"ДА"</formula>
    </cfRule>
    <cfRule type="cellIs" dxfId="276" priority="23" operator="equal">
      <formula>"НЕТ"</formula>
    </cfRule>
  </conditionalFormatting>
  <conditionalFormatting sqref="I19">
    <cfRule type="cellIs" dxfId="275" priority="20" operator="equal">
      <formula>"ДА"</formula>
    </cfRule>
    <cfRule type="cellIs" dxfId="274" priority="21" operator="equal">
      <formula>"НЕТ"</formula>
    </cfRule>
  </conditionalFormatting>
  <conditionalFormatting sqref="K3:K19">
    <cfRule type="cellIs" dxfId="273" priority="19" operator="greaterThan">
      <formula>0</formula>
    </cfRule>
  </conditionalFormatting>
  <conditionalFormatting sqref="I15:I19">
    <cfRule type="cellIs" dxfId="272" priority="16" operator="equal">
      <formula>"НЕТ"</formula>
    </cfRule>
  </conditionalFormatting>
  <conditionalFormatting sqref="I3:I19">
    <cfRule type="cellIs" dxfId="271" priority="14" operator="equal">
      <formula>"НЕТ"</formula>
    </cfRule>
    <cfRule type="cellIs" dxfId="270" priority="15" operator="equal">
      <formula>"ДА"</formula>
    </cfRule>
  </conditionalFormatting>
  <conditionalFormatting sqref="I3:I18">
    <cfRule type="cellIs" dxfId="269" priority="13" operator="equal">
      <formula>"ДА"</formula>
    </cfRule>
  </conditionalFormatting>
  <conditionalFormatting sqref="I5">
    <cfRule type="cellIs" dxfId="268" priority="10" operator="equal">
      <formula>"ДА"</formula>
    </cfRule>
    <cfRule type="cellIs" dxfId="267" priority="11" operator="equal">
      <formula>"НЕТ"</formula>
    </cfRule>
  </conditionalFormatting>
  <conditionalFormatting sqref="I5">
    <cfRule type="colorScale" priority="1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266" priority="7" operator="equal">
      <formula>"ДА"</formula>
    </cfRule>
    <cfRule type="cellIs" dxfId="265" priority="8" operator="equal">
      <formula>"НЕТ"</formula>
    </cfRule>
  </conditionalFormatting>
  <conditionalFormatting sqref="I9">
    <cfRule type="colorScale" priority="9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2:C22">
    <cfRule type="cellIs" dxfId="264" priority="6" operator="greaterThan">
      <formula>0</formula>
    </cfRule>
  </conditionalFormatting>
  <conditionalFormatting sqref="C27:E74 C77:E77">
    <cfRule type="cellIs" dxfId="263" priority="5" operator="greaterThan">
      <formula>0</formula>
    </cfRule>
  </conditionalFormatting>
  <conditionalFormatting sqref="E78">
    <cfRule type="cellIs" dxfId="262" priority="4" operator="greaterThan">
      <formula>0</formula>
    </cfRule>
  </conditionalFormatting>
  <conditionalFormatting sqref="J3:K19">
    <cfRule type="cellIs" dxfId="261" priority="3" operator="greaterThan">
      <formula>0</formula>
    </cfRule>
  </conditionalFormatting>
  <conditionalFormatting sqref="C23:C24">
    <cfRule type="cellIs" dxfId="260" priority="2" operator="greaterThan">
      <formula>0</formula>
    </cfRule>
  </conditionalFormatting>
  <conditionalFormatting sqref="C75:E76">
    <cfRule type="cellIs" dxfId="259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L77"/>
  <sheetViews>
    <sheetView workbookViewId="0">
      <pane ySplit="22" topLeftCell="A35" activePane="bottomLeft" state="frozen"/>
      <selection pane="bottomLeft" activeCell="H47" sqref="H47"/>
    </sheetView>
  </sheetViews>
  <sheetFormatPr defaultRowHeight="11.25"/>
  <cols>
    <col min="2" max="2" width="55" customWidth="1"/>
    <col min="3" max="3" width="10" bestFit="1" customWidth="1"/>
    <col min="4" max="4" width="11.6640625" customWidth="1"/>
    <col min="5" max="5" width="12.5" customWidth="1"/>
    <col min="6" max="6" width="20.33203125" customWidth="1"/>
    <col min="7" max="7" width="5.1640625" customWidth="1"/>
    <col min="8" max="8" width="48.83203125" customWidth="1"/>
    <col min="9" max="9" width="4.83203125" customWidth="1"/>
  </cols>
  <sheetData>
    <row r="1" spans="1:12" ht="54" customHeight="1" thickBot="1">
      <c r="A1" s="501"/>
      <c r="B1" s="1122"/>
      <c r="C1" s="1122"/>
      <c r="D1" s="1122"/>
      <c r="E1" s="1122"/>
      <c r="F1" s="501"/>
      <c r="G1" s="501"/>
      <c r="H1" s="501"/>
      <c r="I1" s="501"/>
      <c r="J1" s="501"/>
      <c r="K1" s="501"/>
      <c r="L1" s="501"/>
    </row>
    <row r="2" spans="1:12" ht="11.25" customHeight="1" thickBot="1">
      <c r="A2" s="535"/>
      <c r="B2" s="503" t="s">
        <v>746</v>
      </c>
      <c r="C2" s="687">
        <v>0</v>
      </c>
      <c r="D2" s="1047" t="s">
        <v>675</v>
      </c>
      <c r="E2" s="1048"/>
      <c r="F2" s="1049"/>
      <c r="G2" s="577"/>
      <c r="H2" s="505" t="s">
        <v>565</v>
      </c>
      <c r="I2" s="784" t="s">
        <v>684</v>
      </c>
      <c r="J2" s="506" t="s">
        <v>4</v>
      </c>
      <c r="K2" s="507" t="s">
        <v>8</v>
      </c>
      <c r="L2" s="501"/>
    </row>
    <row r="3" spans="1:12" ht="13.5" thickBot="1">
      <c r="A3" s="535"/>
      <c r="B3" s="508" t="s">
        <v>747</v>
      </c>
      <c r="C3" s="555">
        <v>0</v>
      </c>
      <c r="D3" s="1050"/>
      <c r="E3" s="1051"/>
      <c r="F3" s="1052"/>
      <c r="G3" s="577"/>
      <c r="H3" s="509" t="s">
        <v>569</v>
      </c>
      <c r="I3" s="719" t="str">
        <f>IF(AND($C$7+$C$8+$C$9=1,$C$10+$C$11+$C$12=0,C13=1),"ДА","НЕТ")</f>
        <v>НЕТ</v>
      </c>
      <c r="J3" s="413"/>
      <c r="K3" s="414">
        <f>IF(I3="ДА",$C$18*J3,0)</f>
        <v>0</v>
      </c>
      <c r="L3" s="501"/>
    </row>
    <row r="4" spans="1:12" ht="12.75">
      <c r="A4" s="535"/>
      <c r="B4" s="503" t="s">
        <v>589</v>
      </c>
      <c r="C4" s="682">
        <v>0</v>
      </c>
      <c r="D4" s="1110" t="s">
        <v>164</v>
      </c>
      <c r="E4" s="1111"/>
      <c r="F4" s="1112"/>
      <c r="G4" s="535"/>
      <c r="H4" s="514" t="s">
        <v>566</v>
      </c>
      <c r="I4" s="720" t="str">
        <f>IF(AND($C$7+$C$8+$C$9=1,$C$10+$C$11+$C$12=0,C13=3),"ДА","НЕТ")</f>
        <v>НЕТ</v>
      </c>
      <c r="J4" s="417"/>
      <c r="K4" s="418">
        <f t="shared" ref="K4:K19" si="0">IF(I4="ДА",$C$18*J4,0)</f>
        <v>0</v>
      </c>
      <c r="L4" s="501"/>
    </row>
    <row r="5" spans="1:12" ht="12.75">
      <c r="A5" s="535"/>
      <c r="B5" s="513" t="s">
        <v>590</v>
      </c>
      <c r="C5" s="683">
        <v>0</v>
      </c>
      <c r="D5" s="1113"/>
      <c r="E5" s="1114"/>
      <c r="F5" s="1115"/>
      <c r="G5" s="535"/>
      <c r="H5" s="514" t="s">
        <v>671</v>
      </c>
      <c r="I5" s="720" t="str">
        <f>IF(AND($C$7+$C$8+$C$9=1,$C$10+$C$11+$C$12=0,C13=3),"ДА","НЕТ")</f>
        <v>НЕТ</v>
      </c>
      <c r="J5" s="417"/>
      <c r="K5" s="418">
        <f t="shared" si="0"/>
        <v>0</v>
      </c>
      <c r="L5" s="501"/>
    </row>
    <row r="6" spans="1:12" ht="13.5" thickBot="1">
      <c r="A6" s="535"/>
      <c r="B6" s="536" t="s">
        <v>754</v>
      </c>
      <c r="C6" s="684">
        <v>0</v>
      </c>
      <c r="D6" s="1116"/>
      <c r="E6" s="1117"/>
      <c r="F6" s="1118"/>
      <c r="G6" s="535"/>
      <c r="H6" s="514" t="s">
        <v>567</v>
      </c>
      <c r="I6" s="720" t="str">
        <f>IF(AND($C$7+$C$8+$C$9=1,$C$10+$C$11+$C$12=0,C13=2),"ДА","НЕТ")</f>
        <v>НЕТ</v>
      </c>
      <c r="J6" s="417"/>
      <c r="K6" s="418">
        <f t="shared" si="0"/>
        <v>0</v>
      </c>
      <c r="L6" s="501"/>
    </row>
    <row r="7" spans="1:12" ht="12.75">
      <c r="A7" s="535"/>
      <c r="B7" s="503" t="s">
        <v>578</v>
      </c>
      <c r="C7" s="560">
        <v>0</v>
      </c>
      <c r="D7" s="516" t="s">
        <v>365</v>
      </c>
      <c r="E7" s="517" t="s">
        <v>327</v>
      </c>
      <c r="F7" s="1119" t="s">
        <v>677</v>
      </c>
      <c r="G7" s="535"/>
      <c r="H7" s="514" t="s">
        <v>568</v>
      </c>
      <c r="I7" s="720" t="str">
        <f>IF(AND($C$7+$C$8+$C$9=1,$C$10+$C$11+$C$12=0,C13=2),"ДА","НЕТ")</f>
        <v>НЕТ</v>
      </c>
      <c r="J7" s="417"/>
      <c r="K7" s="418">
        <f t="shared" si="0"/>
        <v>0</v>
      </c>
      <c r="L7" s="501"/>
    </row>
    <row r="8" spans="1:12" ht="12.75">
      <c r="A8" s="535"/>
      <c r="B8" s="513" t="s">
        <v>579</v>
      </c>
      <c r="C8" s="557">
        <v>0</v>
      </c>
      <c r="D8" s="520" t="s">
        <v>365</v>
      </c>
      <c r="E8" s="520" t="s">
        <v>327</v>
      </c>
      <c r="F8" s="1120"/>
      <c r="G8" s="535"/>
      <c r="H8" s="514" t="s">
        <v>574</v>
      </c>
      <c r="I8" s="720" t="str">
        <f>IF(AND($C$7+$C$8+$C$9=1,$C$10+$C$11+$C$12=0,C13=2),"ДА","НЕТ")</f>
        <v>НЕТ</v>
      </c>
      <c r="J8" s="417"/>
      <c r="K8" s="418">
        <f t="shared" si="0"/>
        <v>0</v>
      </c>
      <c r="L8" s="501"/>
    </row>
    <row r="9" spans="1:12" ht="12.75">
      <c r="A9" s="535"/>
      <c r="B9" s="513" t="s">
        <v>667</v>
      </c>
      <c r="C9" s="557">
        <v>0</v>
      </c>
      <c r="D9" s="520" t="s">
        <v>365</v>
      </c>
      <c r="E9" s="520" t="s">
        <v>327</v>
      </c>
      <c r="F9" s="1120"/>
      <c r="G9" s="535"/>
      <c r="H9" s="509" t="s">
        <v>670</v>
      </c>
      <c r="I9" s="720" t="str">
        <f>IF(AND($C$7+$C$8+$C$9=1,$C$10+$C$11+$C$12=0,C13=1),"ДА","НЕТ")</f>
        <v>НЕТ</v>
      </c>
      <c r="J9" s="413"/>
      <c r="K9" s="414">
        <f t="shared" si="0"/>
        <v>0</v>
      </c>
      <c r="L9" s="501"/>
    </row>
    <row r="10" spans="1:12" ht="12.75">
      <c r="A10" s="535"/>
      <c r="B10" s="515" t="s">
        <v>580</v>
      </c>
      <c r="C10" s="558">
        <v>0</v>
      </c>
      <c r="D10" s="518" t="s">
        <v>365</v>
      </c>
      <c r="E10" s="519" t="s">
        <v>327</v>
      </c>
      <c r="F10" s="1120"/>
      <c r="G10" s="537"/>
      <c r="H10" s="509" t="s">
        <v>462</v>
      </c>
      <c r="I10" s="720" t="str">
        <f>IF(AND($C$7+$C$8+$C$9+$C$12=0,$C$10+$C$11=1,$C$13=1),"ДА","НЕТ")</f>
        <v>НЕТ</v>
      </c>
      <c r="J10" s="420"/>
      <c r="K10" s="421">
        <f t="shared" si="0"/>
        <v>0</v>
      </c>
      <c r="L10" s="501"/>
    </row>
    <row r="11" spans="1:12" ht="12.75">
      <c r="A11" s="535"/>
      <c r="B11" s="513" t="s">
        <v>581</v>
      </c>
      <c r="C11" s="557">
        <v>0</v>
      </c>
      <c r="D11" s="520" t="s">
        <v>365</v>
      </c>
      <c r="E11" s="520" t="s">
        <v>327</v>
      </c>
      <c r="F11" s="1120"/>
      <c r="G11" s="549"/>
      <c r="H11" s="512" t="s">
        <v>463</v>
      </c>
      <c r="I11" s="720" t="str">
        <f>IF(AND($C$7+$C$8+$C$9+$C$12=0,$C$10+$C$11=1,$C$13=1),"ДА","НЕТ")</f>
        <v>НЕТ</v>
      </c>
      <c r="J11" s="420"/>
      <c r="K11" s="421">
        <f t="shared" si="0"/>
        <v>0</v>
      </c>
      <c r="L11" s="501"/>
    </row>
    <row r="12" spans="1:12" ht="13.5" thickBot="1">
      <c r="A12" s="535"/>
      <c r="B12" s="610" t="s">
        <v>668</v>
      </c>
      <c r="C12" s="609">
        <v>0</v>
      </c>
      <c r="D12" s="722" t="s">
        <v>365</v>
      </c>
      <c r="E12" s="612" t="s">
        <v>327</v>
      </c>
      <c r="F12" s="1121"/>
      <c r="G12" s="549"/>
      <c r="H12" s="512" t="s">
        <v>464</v>
      </c>
      <c r="I12" s="720" t="str">
        <f>IF(AND($C$7+$C$8+$C$9+$C$12=0,$C$10+$C$11=1,$C$13=1),"ДА","НЕТ")</f>
        <v>НЕТ</v>
      </c>
      <c r="J12" s="423"/>
      <c r="K12" s="421">
        <f t="shared" si="0"/>
        <v>0</v>
      </c>
      <c r="L12" s="501"/>
    </row>
    <row r="13" spans="1:12" ht="13.5" thickBot="1">
      <c r="A13" s="535"/>
      <c r="B13" s="525" t="s">
        <v>669</v>
      </c>
      <c r="C13" s="644">
        <v>0</v>
      </c>
      <c r="D13" s="529" t="s">
        <v>699</v>
      </c>
      <c r="E13" s="530" t="s">
        <v>700</v>
      </c>
      <c r="F13" s="532" t="s">
        <v>701</v>
      </c>
      <c r="G13" s="549"/>
      <c r="H13" s="512" t="s">
        <v>672</v>
      </c>
      <c r="I13" s="720" t="str">
        <f>IF(AND($C$7+$C$8+$C$9+$C$10+$C$11=0,$C$12=1,$C$13=1),"ДА","НЕТ")</f>
        <v>НЕТ</v>
      </c>
      <c r="J13" s="423"/>
      <c r="K13" s="421">
        <f t="shared" si="0"/>
        <v>0</v>
      </c>
      <c r="L13" s="501"/>
    </row>
    <row r="14" spans="1:12" ht="12.75">
      <c r="A14" s="535"/>
      <c r="B14" s="515" t="s">
        <v>439</v>
      </c>
      <c r="C14" s="558">
        <v>0</v>
      </c>
      <c r="D14" s="518" t="s">
        <v>365</v>
      </c>
      <c r="E14" s="519" t="s">
        <v>327</v>
      </c>
      <c r="F14" s="1055" t="s">
        <v>677</v>
      </c>
      <c r="G14" s="535"/>
      <c r="H14" s="512" t="s">
        <v>672</v>
      </c>
      <c r="I14" s="720" t="str">
        <f>IF(AND($C$7+$C$8+$C$9+$C$10+$C$11=0,$C$12=1,$C$13=1),"ДА","НЕТ")</f>
        <v>НЕТ</v>
      </c>
      <c r="J14" s="423"/>
      <c r="K14" s="421">
        <f t="shared" si="0"/>
        <v>0</v>
      </c>
      <c r="L14" s="501"/>
    </row>
    <row r="15" spans="1:12" ht="12.75">
      <c r="A15" s="535"/>
      <c r="B15" s="513" t="s">
        <v>440</v>
      </c>
      <c r="C15" s="557">
        <v>0</v>
      </c>
      <c r="D15" s="520" t="s">
        <v>365</v>
      </c>
      <c r="E15" s="521" t="s">
        <v>327</v>
      </c>
      <c r="F15" s="1056"/>
      <c r="G15" s="535"/>
      <c r="H15" s="509" t="s">
        <v>467</v>
      </c>
      <c r="I15" s="720" t="str">
        <f>IF(AND($C$7+$C$8+$C$9+$C$12=0,$C$10+$C$11=1,$C$13=2),"ДА","НЕТ")</f>
        <v>НЕТ</v>
      </c>
      <c r="J15" s="420"/>
      <c r="K15" s="421">
        <f t="shared" si="0"/>
        <v>0</v>
      </c>
      <c r="L15" s="501"/>
    </row>
    <row r="16" spans="1:12" ht="12.75">
      <c r="A16" s="535"/>
      <c r="B16" s="513" t="s">
        <v>546</v>
      </c>
      <c r="C16" s="557">
        <v>0</v>
      </c>
      <c r="D16" s="520" t="s">
        <v>365</v>
      </c>
      <c r="E16" s="521" t="s">
        <v>327</v>
      </c>
      <c r="F16" s="1056"/>
      <c r="G16" s="535"/>
      <c r="H16" s="512" t="s">
        <v>468</v>
      </c>
      <c r="I16" s="720" t="str">
        <f>IF(AND($C$7+$C$8+$C$9+$C$12=0,$C$10+$C$11=1,$C$13=2),"ДА","НЕТ")</f>
        <v>НЕТ</v>
      </c>
      <c r="J16" s="420"/>
      <c r="K16" s="421">
        <f t="shared" si="0"/>
        <v>0</v>
      </c>
      <c r="L16" s="501"/>
    </row>
    <row r="17" spans="1:12" ht="13.5" thickBot="1">
      <c r="A17" s="535"/>
      <c r="B17" s="513" t="s">
        <v>545</v>
      </c>
      <c r="C17" s="557">
        <v>0</v>
      </c>
      <c r="D17" s="523" t="s">
        <v>365</v>
      </c>
      <c r="E17" s="524" t="s">
        <v>327</v>
      </c>
      <c r="F17" s="1057"/>
      <c r="G17" s="535"/>
      <c r="H17" s="512" t="s">
        <v>469</v>
      </c>
      <c r="I17" s="720" t="str">
        <f>IF(AND($C$7+$C$8+$C$9+$C$12=0,$C$10+$C$11=1,$C$13=2),"ДА","НЕТ")</f>
        <v>НЕТ</v>
      </c>
      <c r="J17" s="420"/>
      <c r="K17" s="418">
        <f t="shared" si="0"/>
        <v>0</v>
      </c>
      <c r="L17" s="501"/>
    </row>
    <row r="18" spans="1:12" ht="13.5" thickBot="1">
      <c r="A18" s="535"/>
      <c r="B18" s="525" t="s">
        <v>152</v>
      </c>
      <c r="C18" s="662">
        <v>0</v>
      </c>
      <c r="D18" s="1099" t="s">
        <v>755</v>
      </c>
      <c r="E18" s="1100"/>
      <c r="F18" s="1101"/>
      <c r="G18" s="535"/>
      <c r="H18" s="509" t="s">
        <v>673</v>
      </c>
      <c r="I18" s="719" t="str">
        <f>IF(AND($C$7+$C$8+$C$9+$C$10+$C$11=0,$C$12=1,$C$13=2),"ДА","НЕТ")</f>
        <v>НЕТ</v>
      </c>
      <c r="J18" s="424"/>
      <c r="K18" s="425">
        <f t="shared" si="0"/>
        <v>0</v>
      </c>
      <c r="L18" s="501"/>
    </row>
    <row r="19" spans="1:12" ht="13.5" thickBot="1">
      <c r="A19" s="535"/>
      <c r="B19" s="826" t="s">
        <v>205</v>
      </c>
      <c r="C19" s="560">
        <v>0</v>
      </c>
      <c r="D19" s="1059" t="s">
        <v>766</v>
      </c>
      <c r="E19" s="1059"/>
      <c r="F19" s="1060"/>
      <c r="G19" s="535"/>
      <c r="H19" s="533" t="s">
        <v>674</v>
      </c>
      <c r="I19" s="730" t="str">
        <f>IF(AND($C$7+$C$8+$C$9+$C$10+$C$11=0,$C$12=1,$C$13=2),"ДА","НЕТ")</f>
        <v>НЕТ</v>
      </c>
      <c r="J19" s="427"/>
      <c r="K19" s="428">
        <f t="shared" si="0"/>
        <v>0</v>
      </c>
      <c r="L19" s="501"/>
    </row>
    <row r="20" spans="1:12" s="89" customFormat="1" ht="13.5" thickBot="1">
      <c r="A20" s="539"/>
      <c r="B20" s="827" t="s">
        <v>204</v>
      </c>
      <c r="C20" s="559">
        <v>0</v>
      </c>
      <c r="D20" s="1065" t="s">
        <v>767</v>
      </c>
      <c r="E20" s="1065"/>
      <c r="F20" s="1066"/>
      <c r="G20" s="539"/>
      <c r="H20" s="660"/>
      <c r="I20" s="825"/>
      <c r="J20" s="431"/>
      <c r="K20" s="432"/>
      <c r="L20" s="736"/>
    </row>
    <row r="21" spans="1:12" ht="13.5" thickBot="1">
      <c r="A21" s="535"/>
      <c r="B21" s="535"/>
      <c r="C21" s="535"/>
      <c r="D21" s="535"/>
      <c r="E21" s="535"/>
      <c r="F21" s="535"/>
      <c r="G21" s="535"/>
      <c r="H21" s="660"/>
      <c r="I21" s="825"/>
      <c r="J21" s="431"/>
      <c r="K21" s="432"/>
      <c r="L21" s="501"/>
    </row>
    <row r="22" spans="1:12" ht="12.75">
      <c r="A22" s="535"/>
      <c r="B22" s="540" t="s">
        <v>5</v>
      </c>
      <c r="C22" s="541" t="s">
        <v>0</v>
      </c>
      <c r="D22" s="727" t="s">
        <v>4</v>
      </c>
      <c r="E22" s="543" t="s">
        <v>8</v>
      </c>
      <c r="F22" s="535"/>
      <c r="G22" s="535"/>
      <c r="H22" s="535"/>
      <c r="I22" s="535"/>
      <c r="J22" s="535"/>
      <c r="K22" s="535"/>
      <c r="L22" s="501"/>
    </row>
    <row r="23" spans="1:12">
      <c r="A23" s="535"/>
      <c r="B23" s="545" t="s">
        <v>548</v>
      </c>
      <c r="C23" s="437">
        <f>(C4+C5+C6)*C18*C16</f>
        <v>0</v>
      </c>
      <c r="D23" s="647"/>
      <c r="E23" s="648">
        <f t="shared" ref="E23:E68" si="1">C23*D23</f>
        <v>0</v>
      </c>
      <c r="F23" s="535"/>
      <c r="G23" s="535"/>
      <c r="H23" s="535"/>
      <c r="I23" s="535"/>
      <c r="J23" s="535"/>
      <c r="K23" s="535"/>
      <c r="L23" s="501"/>
    </row>
    <row r="24" spans="1:12">
      <c r="A24" s="535"/>
      <c r="B24" s="545" t="s">
        <v>616</v>
      </c>
      <c r="C24" s="437">
        <f>C4*C17*(C4+C5+C6)</f>
        <v>0</v>
      </c>
      <c r="D24" s="438"/>
      <c r="E24" s="648">
        <f t="shared" si="1"/>
        <v>0</v>
      </c>
      <c r="F24" s="535"/>
      <c r="G24" s="535"/>
      <c r="H24" s="535"/>
      <c r="I24" s="535"/>
      <c r="J24" s="535"/>
      <c r="K24" s="535"/>
      <c r="L24" s="501"/>
    </row>
    <row r="25" spans="1:12">
      <c r="A25" s="535"/>
      <c r="B25" s="545" t="s">
        <v>122</v>
      </c>
      <c r="C25" s="437">
        <f>(C15+C14)*2*(C4+C5+C6)*C18</f>
        <v>0</v>
      </c>
      <c r="D25" s="438"/>
      <c r="E25" s="648">
        <f t="shared" si="1"/>
        <v>0</v>
      </c>
      <c r="F25" s="535"/>
      <c r="G25" s="535"/>
      <c r="H25" s="535"/>
      <c r="I25" s="535"/>
      <c r="J25" s="535"/>
      <c r="K25" s="535"/>
      <c r="L25" s="501"/>
    </row>
    <row r="26" spans="1:12">
      <c r="A26" s="535"/>
      <c r="B26" s="547" t="s">
        <v>519</v>
      </c>
      <c r="C26" s="442">
        <f>EVEN(ROUNDDOWN(IF(C18&gt;0,(C2/0.5)*C18,0),0))</f>
        <v>0</v>
      </c>
      <c r="D26" s="647"/>
      <c r="E26" s="648">
        <f t="shared" si="1"/>
        <v>0</v>
      </c>
      <c r="F26" s="535"/>
      <c r="G26" s="535"/>
      <c r="H26" s="535"/>
      <c r="I26" s="535"/>
      <c r="J26" s="535"/>
      <c r="K26" s="535"/>
      <c r="L26" s="501"/>
    </row>
    <row r="27" spans="1:12">
      <c r="A27" s="535"/>
      <c r="B27" s="547" t="s">
        <v>499</v>
      </c>
      <c r="C27" s="442">
        <f>IF(AND(C7+C8+C9&gt;0,C10+C11+C12=0),C18*2,0)</f>
        <v>0</v>
      </c>
      <c r="D27" s="647"/>
      <c r="E27" s="648">
        <f t="shared" si="1"/>
        <v>0</v>
      </c>
      <c r="F27" s="535"/>
      <c r="G27" s="535"/>
      <c r="H27" s="535"/>
      <c r="I27" s="535"/>
      <c r="J27" s="535"/>
      <c r="K27" s="535"/>
      <c r="L27" s="501"/>
    </row>
    <row r="28" spans="1:12">
      <c r="A28" s="535"/>
      <c r="B28" s="547" t="s">
        <v>499</v>
      </c>
      <c r="C28" s="442">
        <f>IF(AND(C7+C8+C9=0,C10+C11+C12&gt;0),C18,0)</f>
        <v>0</v>
      </c>
      <c r="D28" s="647"/>
      <c r="E28" s="648">
        <f t="shared" si="1"/>
        <v>0</v>
      </c>
      <c r="F28" s="535"/>
      <c r="G28" s="535"/>
      <c r="H28" s="535"/>
      <c r="I28" s="535"/>
      <c r="J28" s="535"/>
      <c r="K28" s="535"/>
      <c r="L28" s="501"/>
    </row>
    <row r="29" spans="1:12">
      <c r="A29" s="535"/>
      <c r="B29" s="547" t="s">
        <v>591</v>
      </c>
      <c r="C29" s="442">
        <f>IF(AND(C7+C8+C9&gt;0,C10+C11+C12=0),(C4+C5+C6-1)*C18,0)</f>
        <v>0</v>
      </c>
      <c r="D29" s="647"/>
      <c r="E29" s="648">
        <f t="shared" si="1"/>
        <v>0</v>
      </c>
      <c r="F29" s="535"/>
      <c r="G29" s="535"/>
      <c r="H29" s="535"/>
      <c r="I29" s="535"/>
      <c r="J29" s="535"/>
      <c r="K29" s="535"/>
      <c r="L29" s="501"/>
    </row>
    <row r="30" spans="1:12">
      <c r="A30" s="535"/>
      <c r="B30" s="547" t="s">
        <v>591</v>
      </c>
      <c r="C30" s="442">
        <f>IF(AND(C7+C8=0,C10+C11&gt;0),(C4+C5+C6)*C18,0)</f>
        <v>0</v>
      </c>
      <c r="D30" s="647"/>
      <c r="E30" s="648">
        <f t="shared" si="1"/>
        <v>0</v>
      </c>
      <c r="F30" s="535"/>
      <c r="G30" s="535"/>
      <c r="H30" s="535"/>
      <c r="I30" s="535"/>
      <c r="J30" s="535"/>
      <c r="K30" s="535"/>
      <c r="L30" s="501"/>
    </row>
    <row r="31" spans="1:12">
      <c r="A31" s="535"/>
      <c r="B31" s="545" t="s">
        <v>542</v>
      </c>
      <c r="C31" s="437">
        <f>C18</f>
        <v>0</v>
      </c>
      <c r="D31" s="647"/>
      <c r="E31" s="648">
        <f t="shared" si="1"/>
        <v>0</v>
      </c>
      <c r="F31" s="535"/>
      <c r="G31" s="535"/>
      <c r="H31" s="535"/>
      <c r="I31" s="535"/>
      <c r="J31" s="535"/>
      <c r="K31" s="535"/>
      <c r="L31" s="501"/>
    </row>
    <row r="32" spans="1:12">
      <c r="A32" s="535"/>
      <c r="B32" s="545" t="s">
        <v>543</v>
      </c>
      <c r="C32" s="445">
        <f>C18</f>
        <v>0</v>
      </c>
      <c r="D32" s="647"/>
      <c r="E32" s="648">
        <f t="shared" si="1"/>
        <v>0</v>
      </c>
      <c r="F32" s="535"/>
      <c r="G32" s="535"/>
      <c r="H32" s="535"/>
      <c r="I32" s="535"/>
      <c r="J32" s="535"/>
      <c r="K32" s="535"/>
      <c r="L32" s="501"/>
    </row>
    <row r="33" spans="1:12">
      <c r="A33" s="535"/>
      <c r="B33" s="545" t="s">
        <v>520</v>
      </c>
      <c r="C33" s="437">
        <f>C18*2</f>
        <v>0</v>
      </c>
      <c r="D33" s="647"/>
      <c r="E33" s="648">
        <f t="shared" si="1"/>
        <v>0</v>
      </c>
      <c r="F33" s="535"/>
      <c r="G33" s="535"/>
      <c r="H33" s="535"/>
      <c r="I33" s="535"/>
      <c r="J33" s="535"/>
      <c r="K33" s="535"/>
      <c r="L33" s="501"/>
    </row>
    <row r="34" spans="1:12">
      <c r="A34" s="535"/>
      <c r="B34" s="547" t="s">
        <v>524</v>
      </c>
      <c r="C34" s="437">
        <f>IF(C5+C6=0,C46+C49+C58,0)</f>
        <v>0</v>
      </c>
      <c r="D34" s="647"/>
      <c r="E34" s="648">
        <f t="shared" si="1"/>
        <v>0</v>
      </c>
      <c r="F34" s="535"/>
      <c r="G34" s="535"/>
      <c r="H34" s="535"/>
      <c r="I34" s="535"/>
      <c r="J34" s="535"/>
      <c r="K34" s="535"/>
      <c r="L34" s="501"/>
    </row>
    <row r="35" spans="1:12">
      <c r="A35" s="535"/>
      <c r="B35" s="547" t="s">
        <v>525</v>
      </c>
      <c r="C35" s="437">
        <f>IF(AND(C4&gt;0,C5+C6=0),C46+C49+C58+1,0)</f>
        <v>0</v>
      </c>
      <c r="D35" s="647"/>
      <c r="E35" s="648">
        <f t="shared" si="1"/>
        <v>0</v>
      </c>
      <c r="F35" s="535"/>
      <c r="G35" s="535"/>
      <c r="H35" s="535"/>
      <c r="I35" s="535"/>
      <c r="J35" s="535"/>
      <c r="K35" s="535"/>
      <c r="L35" s="501"/>
    </row>
    <row r="36" spans="1:12">
      <c r="A36" s="535"/>
      <c r="B36" s="547" t="s">
        <v>732</v>
      </c>
      <c r="C36" s="437">
        <f>IF(AND(C6&gt;0,C4+C5=0),C46+C49+C58,0)</f>
        <v>0</v>
      </c>
      <c r="D36" s="647"/>
      <c r="E36" s="648">
        <f>C36*D36</f>
        <v>0</v>
      </c>
      <c r="F36" s="535"/>
      <c r="G36" s="535"/>
      <c r="H36" s="535"/>
      <c r="I36" s="535"/>
      <c r="J36" s="535"/>
      <c r="K36" s="535"/>
      <c r="L36" s="501"/>
    </row>
    <row r="37" spans="1:12">
      <c r="A37" s="535"/>
      <c r="B37" s="547" t="s">
        <v>513</v>
      </c>
      <c r="C37" s="437">
        <f>IF(C4=0,(C5+C6)*(C46+C49+C58),0)</f>
        <v>0</v>
      </c>
      <c r="D37" s="647"/>
      <c r="E37" s="648">
        <f t="shared" si="1"/>
        <v>0</v>
      </c>
      <c r="F37" s="535"/>
      <c r="G37" s="535"/>
      <c r="H37" s="535"/>
      <c r="I37" s="535"/>
      <c r="J37" s="535"/>
      <c r="K37" s="535"/>
      <c r="L37" s="501"/>
    </row>
    <row r="38" spans="1:12">
      <c r="A38" s="535"/>
      <c r="B38" s="547" t="s">
        <v>762</v>
      </c>
      <c r="C38" s="437">
        <f>IF(C4+C5+C6&gt;0,C4+C5+C6-1,0)</f>
        <v>0</v>
      </c>
      <c r="D38" s="647"/>
      <c r="E38" s="648">
        <f t="shared" si="1"/>
        <v>0</v>
      </c>
      <c r="F38" s="535"/>
      <c r="G38" s="535"/>
      <c r="H38" s="535"/>
      <c r="I38" s="535"/>
      <c r="J38" s="535"/>
      <c r="K38" s="535"/>
      <c r="L38" s="501"/>
    </row>
    <row r="39" spans="1:12">
      <c r="A39" s="535"/>
      <c r="B39" s="545" t="s">
        <v>553</v>
      </c>
      <c r="C39" s="437">
        <f>C18*C2</f>
        <v>0</v>
      </c>
      <c r="D39" s="647"/>
      <c r="E39" s="648">
        <f t="shared" si="1"/>
        <v>0</v>
      </c>
      <c r="F39" s="535"/>
      <c r="G39" s="535"/>
      <c r="H39" s="535"/>
      <c r="I39" s="535"/>
      <c r="J39" s="535"/>
      <c r="K39" s="535"/>
      <c r="L39" s="501"/>
    </row>
    <row r="40" spans="1:12">
      <c r="A40" s="535"/>
      <c r="B40" s="545" t="s">
        <v>553</v>
      </c>
      <c r="C40" s="442">
        <f>C2*C16*C18</f>
        <v>0</v>
      </c>
      <c r="D40" s="443"/>
      <c r="E40" s="648">
        <f t="shared" si="1"/>
        <v>0</v>
      </c>
      <c r="F40" s="535"/>
      <c r="G40" s="535"/>
      <c r="H40" s="535"/>
      <c r="I40" s="535"/>
      <c r="J40" s="535"/>
      <c r="K40" s="535"/>
      <c r="L40" s="501"/>
    </row>
    <row r="41" spans="1:12">
      <c r="A41" s="535"/>
      <c r="B41" s="547" t="s">
        <v>441</v>
      </c>
      <c r="C41" s="442">
        <f>C15*2*C18</f>
        <v>0</v>
      </c>
      <c r="D41" s="647"/>
      <c r="E41" s="648">
        <f t="shared" si="1"/>
        <v>0</v>
      </c>
      <c r="F41" s="535"/>
      <c r="G41" s="535"/>
      <c r="H41" s="535"/>
      <c r="I41" s="535"/>
      <c r="J41" s="535"/>
      <c r="K41" s="535"/>
      <c r="L41" s="501"/>
    </row>
    <row r="42" spans="1:12">
      <c r="A42" s="535"/>
      <c r="B42" s="547" t="s">
        <v>556</v>
      </c>
      <c r="C42" s="442">
        <f>(C14+C17)*C2*C18</f>
        <v>0</v>
      </c>
      <c r="D42" s="649"/>
      <c r="E42" s="648">
        <f t="shared" si="1"/>
        <v>0</v>
      </c>
      <c r="F42" s="535"/>
      <c r="G42" s="535"/>
      <c r="H42" s="535"/>
      <c r="I42" s="535"/>
      <c r="J42" s="535"/>
      <c r="K42" s="535"/>
      <c r="L42" s="501"/>
    </row>
    <row r="43" spans="1:12">
      <c r="A43" s="535"/>
      <c r="B43" s="547" t="s">
        <v>617</v>
      </c>
      <c r="C43" s="442">
        <f>C17*C2*C18</f>
        <v>0</v>
      </c>
      <c r="D43" s="443"/>
      <c r="E43" s="648">
        <f t="shared" si="1"/>
        <v>0</v>
      </c>
      <c r="F43" s="535"/>
      <c r="G43" s="535"/>
      <c r="H43" s="535"/>
      <c r="I43" s="535"/>
      <c r="J43" s="535"/>
      <c r="K43" s="535"/>
      <c r="L43" s="501"/>
    </row>
    <row r="44" spans="1:12">
      <c r="A44" s="535"/>
      <c r="B44" s="547" t="s">
        <v>442</v>
      </c>
      <c r="C44" s="442">
        <f>C14*C2*C18</f>
        <v>0</v>
      </c>
      <c r="D44" s="443"/>
      <c r="E44" s="648">
        <f t="shared" si="1"/>
        <v>0</v>
      </c>
      <c r="F44" s="549"/>
      <c r="G44" s="535"/>
      <c r="H44" s="535"/>
      <c r="I44" s="535"/>
      <c r="J44" s="535"/>
      <c r="K44" s="535"/>
      <c r="L44" s="501"/>
    </row>
    <row r="45" spans="1:12">
      <c r="A45" s="535"/>
      <c r="B45" s="547" t="s">
        <v>443</v>
      </c>
      <c r="C45" s="450">
        <f>C15*C2*C18</f>
        <v>0</v>
      </c>
      <c r="D45" s="443"/>
      <c r="E45" s="648">
        <f t="shared" si="1"/>
        <v>0</v>
      </c>
      <c r="F45" s="535"/>
      <c r="G45" s="535"/>
      <c r="H45" s="535"/>
      <c r="I45" s="535"/>
      <c r="J45" s="535"/>
      <c r="K45" s="535"/>
      <c r="L45" s="501"/>
    </row>
    <row r="46" spans="1:12">
      <c r="A46" s="535"/>
      <c r="B46" s="547" t="s">
        <v>594</v>
      </c>
      <c r="C46" s="442">
        <f>((C4+C5+C6)-1)*C18</f>
        <v>0</v>
      </c>
      <c r="D46" s="685"/>
      <c r="E46" s="648">
        <f t="shared" si="1"/>
        <v>0</v>
      </c>
      <c r="F46" s="535"/>
      <c r="G46" s="535"/>
      <c r="H46" s="535"/>
      <c r="I46" s="535"/>
      <c r="J46" s="535"/>
      <c r="K46" s="535"/>
      <c r="L46" s="501"/>
    </row>
    <row r="47" spans="1:12" ht="11.25" customHeight="1">
      <c r="A47" s="535"/>
      <c r="B47" s="548" t="s">
        <v>586</v>
      </c>
      <c r="C47" s="495">
        <f>((C4+C5+C6)-1)*C18</f>
        <v>0</v>
      </c>
      <c r="D47" s="685"/>
      <c r="E47" s="648">
        <f t="shared" si="1"/>
        <v>0</v>
      </c>
      <c r="F47" s="535"/>
      <c r="G47" s="535"/>
      <c r="H47" s="535"/>
      <c r="I47" s="535"/>
      <c r="J47" s="535"/>
      <c r="K47" s="535"/>
      <c r="L47" s="501"/>
    </row>
    <row r="48" spans="1:12">
      <c r="A48" s="535"/>
      <c r="B48" s="548" t="s">
        <v>595</v>
      </c>
      <c r="C48" s="495">
        <f>((C4+C5+C6)-1)*C18</f>
        <v>0</v>
      </c>
      <c r="D48" s="685"/>
      <c r="E48" s="648">
        <f t="shared" si="1"/>
        <v>0</v>
      </c>
      <c r="F48" s="535"/>
      <c r="G48" s="535"/>
      <c r="H48" s="535"/>
      <c r="I48" s="535"/>
      <c r="J48" s="535"/>
      <c r="K48" s="535"/>
      <c r="L48" s="501"/>
    </row>
    <row r="49" spans="1:12">
      <c r="A49" s="535"/>
      <c r="B49" s="547" t="s">
        <v>585</v>
      </c>
      <c r="C49" s="442">
        <f>((C4+C5+C6)-1)*C18</f>
        <v>0</v>
      </c>
      <c r="D49" s="685"/>
      <c r="E49" s="648">
        <f t="shared" si="1"/>
        <v>0</v>
      </c>
      <c r="F49" s="535"/>
      <c r="G49" s="535"/>
      <c r="H49" s="535"/>
      <c r="I49" s="535"/>
      <c r="J49" s="535"/>
      <c r="K49" s="535"/>
      <c r="L49" s="501"/>
    </row>
    <row r="50" spans="1:12">
      <c r="A50" s="535"/>
      <c r="B50" s="547" t="s">
        <v>552</v>
      </c>
      <c r="C50" s="442">
        <f>C18*C2*C16</f>
        <v>0</v>
      </c>
      <c r="D50" s="647"/>
      <c r="E50" s="648">
        <f t="shared" si="1"/>
        <v>0</v>
      </c>
      <c r="F50" s="535"/>
      <c r="G50" s="535"/>
      <c r="H50" s="535"/>
      <c r="I50" s="535"/>
      <c r="J50" s="535"/>
      <c r="K50" s="535"/>
      <c r="L50" s="501"/>
    </row>
    <row r="51" spans="1:12">
      <c r="A51" s="535"/>
      <c r="B51" s="545" t="s">
        <v>540</v>
      </c>
      <c r="C51" s="437">
        <f>IF(AND(C4&gt;0,C5+C6=0),C2*C18,0)</f>
        <v>0</v>
      </c>
      <c r="D51" s="647"/>
      <c r="E51" s="648">
        <f t="shared" si="1"/>
        <v>0</v>
      </c>
      <c r="F51" s="535"/>
      <c r="G51" s="535"/>
      <c r="H51" s="535"/>
      <c r="I51" s="535"/>
      <c r="J51" s="535"/>
      <c r="K51" s="535"/>
      <c r="L51" s="501"/>
    </row>
    <row r="52" spans="1:12" ht="12" customHeight="1">
      <c r="A52" s="535"/>
      <c r="B52" s="545" t="s">
        <v>541</v>
      </c>
      <c r="C52" s="437">
        <f>IF(AND(C4+C6=0,C5&gt;0),C2*C18,0)</f>
        <v>0</v>
      </c>
      <c r="D52" s="647"/>
      <c r="E52" s="648">
        <f t="shared" si="1"/>
        <v>0</v>
      </c>
      <c r="F52" s="535"/>
      <c r="G52" s="535"/>
      <c r="H52" s="535"/>
      <c r="I52" s="535"/>
      <c r="J52" s="535"/>
      <c r="K52" s="535"/>
      <c r="L52" s="501"/>
    </row>
    <row r="53" spans="1:12" ht="12" customHeight="1">
      <c r="A53" s="535"/>
      <c r="B53" s="545" t="s">
        <v>681</v>
      </c>
      <c r="C53" s="437">
        <f>IF(AND(C5+C4=0,C6&gt;0),C2*C18,0)</f>
        <v>0</v>
      </c>
      <c r="D53" s="647"/>
      <c r="E53" s="648">
        <f>C53*D53</f>
        <v>0</v>
      </c>
      <c r="F53" s="535"/>
      <c r="G53" s="535"/>
      <c r="H53" s="535"/>
      <c r="I53" s="535"/>
      <c r="J53" s="535"/>
      <c r="K53" s="535"/>
      <c r="L53" s="501"/>
    </row>
    <row r="54" spans="1:12">
      <c r="A54" s="535"/>
      <c r="B54" s="545" t="s">
        <v>521</v>
      </c>
      <c r="C54" s="437">
        <f>C18*2</f>
        <v>0</v>
      </c>
      <c r="D54" s="647"/>
      <c r="E54" s="648">
        <f t="shared" si="1"/>
        <v>0</v>
      </c>
      <c r="F54" s="535"/>
      <c r="G54" s="535"/>
      <c r="H54" s="535"/>
      <c r="I54" s="535"/>
      <c r="J54" s="535"/>
      <c r="K54" s="535"/>
      <c r="L54" s="501"/>
    </row>
    <row r="55" spans="1:12">
      <c r="A55" s="535"/>
      <c r="B55" s="731" t="s">
        <v>563</v>
      </c>
      <c r="C55" s="495">
        <f>C2*C18</f>
        <v>0</v>
      </c>
      <c r="D55" s="650"/>
      <c r="E55" s="648">
        <f t="shared" si="1"/>
        <v>0</v>
      </c>
      <c r="F55" s="535"/>
      <c r="G55" s="535"/>
      <c r="H55" s="535"/>
      <c r="I55" s="535"/>
      <c r="J55" s="535"/>
      <c r="K55" s="535"/>
      <c r="L55" s="501"/>
    </row>
    <row r="56" spans="1:12">
      <c r="A56" s="535"/>
      <c r="B56" s="545" t="s">
        <v>522</v>
      </c>
      <c r="C56" s="437">
        <f>C18*C2</f>
        <v>0</v>
      </c>
      <c r="D56" s="647"/>
      <c r="E56" s="648">
        <f t="shared" si="1"/>
        <v>0</v>
      </c>
      <c r="F56" s="535"/>
      <c r="G56" s="535"/>
      <c r="H56" s="535"/>
      <c r="I56" s="535"/>
      <c r="J56" s="535"/>
      <c r="K56" s="535"/>
      <c r="L56" s="501"/>
    </row>
    <row r="57" spans="1:12">
      <c r="A57" s="535"/>
      <c r="B57" s="545" t="s">
        <v>523</v>
      </c>
      <c r="C57" s="437">
        <f>C18*C2</f>
        <v>0</v>
      </c>
      <c r="D57" s="647"/>
      <c r="E57" s="648">
        <f t="shared" si="1"/>
        <v>0</v>
      </c>
      <c r="F57" s="535"/>
      <c r="G57" s="535"/>
      <c r="H57" s="535"/>
      <c r="I57" s="535"/>
      <c r="J57" s="535"/>
      <c r="K57" s="535"/>
      <c r="L57" s="501"/>
    </row>
    <row r="58" spans="1:12">
      <c r="A58" s="535"/>
      <c r="B58" s="547" t="s">
        <v>502</v>
      </c>
      <c r="C58" s="442">
        <f>C18</f>
        <v>0</v>
      </c>
      <c r="D58" s="647"/>
      <c r="E58" s="648">
        <f t="shared" si="1"/>
        <v>0</v>
      </c>
      <c r="F58" s="535"/>
      <c r="G58" s="535"/>
      <c r="H58" s="535"/>
      <c r="I58" s="535"/>
      <c r="J58" s="535"/>
      <c r="K58" s="535"/>
      <c r="L58" s="501"/>
    </row>
    <row r="59" spans="1:12">
      <c r="A59" s="535"/>
      <c r="B59" s="547" t="s">
        <v>757</v>
      </c>
      <c r="C59" s="442">
        <f>C18*4</f>
        <v>0</v>
      </c>
      <c r="D59" s="647"/>
      <c r="E59" s="648">
        <f t="shared" si="1"/>
        <v>0</v>
      </c>
      <c r="F59" s="535"/>
      <c r="G59" s="535"/>
      <c r="H59" s="535"/>
      <c r="I59" s="535"/>
      <c r="J59" s="535"/>
      <c r="K59" s="535"/>
      <c r="L59" s="501"/>
    </row>
    <row r="60" spans="1:12">
      <c r="A60" s="535"/>
      <c r="B60" s="547" t="s">
        <v>596</v>
      </c>
      <c r="C60" s="442">
        <f>((C4+C5+C6+1)*2)*C18</f>
        <v>0</v>
      </c>
      <c r="D60" s="647"/>
      <c r="E60" s="648">
        <f t="shared" si="1"/>
        <v>0</v>
      </c>
      <c r="F60" s="535"/>
      <c r="G60" s="535"/>
      <c r="H60" s="535"/>
      <c r="I60" s="535"/>
      <c r="J60" s="535"/>
      <c r="K60" s="535"/>
      <c r="L60" s="501"/>
    </row>
    <row r="61" spans="1:12">
      <c r="A61" s="535"/>
      <c r="B61" s="548" t="s">
        <v>682</v>
      </c>
      <c r="C61" s="450">
        <f>C9*C18</f>
        <v>0</v>
      </c>
      <c r="D61" s="443"/>
      <c r="E61" s="439">
        <f t="shared" si="1"/>
        <v>0</v>
      </c>
      <c r="F61" s="535"/>
      <c r="G61" s="535"/>
      <c r="H61" s="535"/>
      <c r="I61" s="535"/>
      <c r="J61" s="535"/>
      <c r="K61" s="535"/>
      <c r="L61" s="501"/>
    </row>
    <row r="62" spans="1:12">
      <c r="A62" s="535"/>
      <c r="B62" s="548" t="s">
        <v>683</v>
      </c>
      <c r="C62" s="450">
        <f>C18*C12</f>
        <v>0</v>
      </c>
      <c r="D62" s="443"/>
      <c r="E62" s="439">
        <f t="shared" si="1"/>
        <v>0</v>
      </c>
      <c r="F62" s="535"/>
      <c r="G62" s="535"/>
      <c r="H62" s="535"/>
      <c r="I62" s="535"/>
      <c r="J62" s="535"/>
      <c r="K62" s="535"/>
      <c r="L62" s="501"/>
    </row>
    <row r="63" spans="1:12">
      <c r="A63" s="535"/>
      <c r="B63" s="548" t="s">
        <v>456</v>
      </c>
      <c r="C63" s="450">
        <f>C7*C18</f>
        <v>0</v>
      </c>
      <c r="D63" s="649"/>
      <c r="E63" s="648">
        <f t="shared" si="1"/>
        <v>0</v>
      </c>
      <c r="F63" s="535"/>
      <c r="G63" s="535"/>
      <c r="H63" s="535"/>
      <c r="I63" s="535"/>
      <c r="J63" s="535"/>
      <c r="K63" s="535"/>
      <c r="L63" s="501"/>
    </row>
    <row r="64" spans="1:12">
      <c r="A64" s="535"/>
      <c r="B64" s="548" t="s">
        <v>678</v>
      </c>
      <c r="C64" s="450">
        <f>C10*C18</f>
        <v>0</v>
      </c>
      <c r="D64" s="649"/>
      <c r="E64" s="648">
        <f t="shared" si="1"/>
        <v>0</v>
      </c>
      <c r="F64" s="535"/>
      <c r="G64" s="535"/>
      <c r="H64" s="535"/>
      <c r="I64" s="535"/>
      <c r="J64" s="535"/>
      <c r="K64" s="535"/>
      <c r="L64" s="501"/>
    </row>
    <row r="65" spans="1:12">
      <c r="A65" s="535"/>
      <c r="B65" s="548" t="s">
        <v>515</v>
      </c>
      <c r="C65" s="450">
        <f>C8*C18</f>
        <v>0</v>
      </c>
      <c r="D65" s="649"/>
      <c r="E65" s="648">
        <f t="shared" si="1"/>
        <v>0</v>
      </c>
      <c r="F65" s="535"/>
      <c r="G65" s="535"/>
      <c r="H65" s="535"/>
      <c r="I65" s="535"/>
      <c r="J65" s="535"/>
      <c r="K65" s="535"/>
      <c r="L65" s="501"/>
    </row>
    <row r="66" spans="1:12">
      <c r="A66" s="535"/>
      <c r="B66" s="621" t="s">
        <v>203</v>
      </c>
      <c r="C66" s="602">
        <f>C20</f>
        <v>0</v>
      </c>
      <c r="D66" s="618"/>
      <c r="E66" s="496">
        <f t="shared" si="1"/>
        <v>0</v>
      </c>
      <c r="F66" s="535"/>
      <c r="G66" s="535"/>
      <c r="H66" s="535"/>
      <c r="I66" s="535"/>
      <c r="J66" s="535"/>
      <c r="K66" s="535"/>
      <c r="L66" s="501"/>
    </row>
    <row r="67" spans="1:12">
      <c r="A67" s="535"/>
      <c r="B67" s="621" t="s">
        <v>206</v>
      </c>
      <c r="C67" s="602">
        <f>C19</f>
        <v>0</v>
      </c>
      <c r="D67" s="618"/>
      <c r="E67" s="496">
        <f t="shared" si="1"/>
        <v>0</v>
      </c>
      <c r="F67" s="535"/>
      <c r="G67" s="535"/>
      <c r="H67" s="535"/>
      <c r="I67" s="535"/>
      <c r="J67" s="535"/>
      <c r="K67" s="535"/>
      <c r="L67" s="501"/>
    </row>
    <row r="68" spans="1:12" ht="12" thickBot="1">
      <c r="A68" s="535"/>
      <c r="B68" s="550" t="s">
        <v>679</v>
      </c>
      <c r="C68" s="498">
        <f>C11*C18</f>
        <v>0</v>
      </c>
      <c r="D68" s="686"/>
      <c r="E68" s="652">
        <f t="shared" si="1"/>
        <v>0</v>
      </c>
      <c r="F68" s="535"/>
      <c r="G68" s="535"/>
      <c r="H68" s="535"/>
      <c r="I68" s="535"/>
      <c r="J68" s="535"/>
      <c r="K68" s="535"/>
      <c r="L68" s="501"/>
    </row>
    <row r="69" spans="1:12" ht="13.5" thickBot="1">
      <c r="A69" s="535"/>
      <c r="B69" s="535"/>
      <c r="C69" s="535"/>
      <c r="D69" s="785" t="s">
        <v>9</v>
      </c>
      <c r="E69" s="623">
        <f>SUMIF(E23:E68,"&gt;0",E23:E68)</f>
        <v>0</v>
      </c>
      <c r="F69" s="535"/>
      <c r="G69" s="535"/>
      <c r="H69" s="535"/>
      <c r="I69" s="535"/>
      <c r="J69" s="535"/>
      <c r="K69" s="535"/>
      <c r="L69" s="501"/>
    </row>
    <row r="70" spans="1:12">
      <c r="A70" s="535"/>
      <c r="B70" s="535"/>
      <c r="C70" s="535"/>
      <c r="D70" s="535"/>
      <c r="E70" s="535"/>
      <c r="F70" s="535"/>
      <c r="G70" s="535"/>
      <c r="H70" s="535"/>
      <c r="I70" s="535"/>
      <c r="J70" s="535"/>
      <c r="K70" s="535"/>
      <c r="L70" s="501"/>
    </row>
    <row r="71" spans="1:12">
      <c r="A71" s="535"/>
      <c r="B71" s="535"/>
      <c r="C71" s="535"/>
      <c r="D71" s="535"/>
      <c r="E71" s="535"/>
      <c r="F71" s="535"/>
      <c r="G71" s="535"/>
      <c r="H71" s="535"/>
      <c r="I71" s="535"/>
      <c r="J71" s="535"/>
      <c r="K71" s="535"/>
      <c r="L71" s="501"/>
    </row>
    <row r="72" spans="1:12" ht="11.25" customHeight="1">
      <c r="A72" s="535"/>
      <c r="B72" s="535"/>
      <c r="C72" s="535"/>
      <c r="D72" s="535"/>
      <c r="E72" s="535"/>
      <c r="F72" s="535"/>
      <c r="G72" s="535"/>
      <c r="H72" s="535"/>
      <c r="I72" s="535"/>
      <c r="J72" s="535"/>
      <c r="K72" s="535"/>
      <c r="L72" s="501"/>
    </row>
    <row r="73" spans="1:12">
      <c r="A73" s="535"/>
      <c r="B73" s="535"/>
      <c r="C73" s="535"/>
      <c r="D73" s="535"/>
      <c r="E73" s="535"/>
      <c r="F73" s="535"/>
      <c r="G73" s="535"/>
      <c r="H73" s="535"/>
      <c r="I73" s="535"/>
      <c r="J73" s="535"/>
      <c r="K73" s="535"/>
      <c r="L73" s="501"/>
    </row>
    <row r="74" spans="1:12">
      <c r="A74" s="535"/>
      <c r="B74" s="535"/>
      <c r="C74" s="535"/>
      <c r="D74" s="535"/>
      <c r="E74" s="535"/>
      <c r="F74" s="535"/>
      <c r="G74" s="535"/>
      <c r="H74" s="535"/>
      <c r="I74" s="535"/>
      <c r="J74" s="535"/>
      <c r="K74" s="535"/>
      <c r="L74" s="501"/>
    </row>
    <row r="75" spans="1:12">
      <c r="A75" s="535"/>
      <c r="B75" s="535"/>
      <c r="C75" s="535"/>
      <c r="D75" s="535"/>
      <c r="E75" s="535"/>
      <c r="F75" s="535"/>
      <c r="G75" s="535"/>
      <c r="H75" s="535"/>
      <c r="I75" s="535"/>
      <c r="J75" s="535"/>
      <c r="K75" s="535"/>
      <c r="L75" s="501"/>
    </row>
    <row r="76" spans="1:12">
      <c r="A76" s="535"/>
      <c r="B76" s="535"/>
      <c r="C76" s="535"/>
      <c r="D76" s="535"/>
      <c r="E76" s="535"/>
      <c r="F76" s="535"/>
      <c r="G76" s="535"/>
      <c r="H76" s="535"/>
      <c r="I76" s="535"/>
      <c r="J76" s="535"/>
      <c r="K76" s="535"/>
      <c r="L76" s="501"/>
    </row>
    <row r="77" spans="1:12" ht="11.25" customHeight="1">
      <c r="A77" s="501"/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</row>
  </sheetData>
  <sheetProtection algorithmName="SHA-512" hashValue="1RQ2NqQYhDN+ZjZLZKuyap0DJUpGbQ/runYpHitcCeFf8/OGS2GEvZ7O8tbvZKlMpHTLNymyl1opaG/ypbZvEw==" saltValue="W5qQSsl1vtLkoIwOCRCcPg==" spinCount="100000" sheet="1"/>
  <mergeCells count="8">
    <mergeCell ref="D19:F19"/>
    <mergeCell ref="D20:F20"/>
    <mergeCell ref="D18:F18"/>
    <mergeCell ref="B1:E1"/>
    <mergeCell ref="D2:F3"/>
    <mergeCell ref="D4:F6"/>
    <mergeCell ref="F7:F12"/>
    <mergeCell ref="F14:F17"/>
  </mergeCells>
  <conditionalFormatting sqref="C13">
    <cfRule type="cellIs" dxfId="258" priority="92" operator="greaterThan">
      <formula>0</formula>
    </cfRule>
  </conditionalFormatting>
  <conditionalFormatting sqref="C13">
    <cfRule type="cellIs" dxfId="257" priority="91" operator="greaterThan">
      <formula>0</formula>
    </cfRule>
  </conditionalFormatting>
  <conditionalFormatting sqref="C13">
    <cfRule type="cellIs" dxfId="256" priority="90" operator="greaterThan">
      <formula>0</formula>
    </cfRule>
  </conditionalFormatting>
  <conditionalFormatting sqref="J3:J21">
    <cfRule type="cellIs" dxfId="255" priority="25" operator="greaterThan">
      <formula>0</formula>
    </cfRule>
    <cfRule type="cellIs" dxfId="254" priority="26" operator="greaterThan">
      <formula>0</formula>
    </cfRule>
  </conditionalFormatting>
  <conditionalFormatting sqref="H10:H12">
    <cfRule type="iconSet" priority="50">
      <iconSet iconSet="3Symbols">
        <cfvo type="percent" val="0"/>
        <cfvo type="percent" val="33"/>
        <cfvo type="percent" val="67"/>
      </iconSet>
    </cfRule>
    <cfRule type="expression" priority="51">
      <formula>"H71=1"</formula>
    </cfRule>
  </conditionalFormatting>
  <conditionalFormatting sqref="H10">
    <cfRule type="iconSet" priority="49">
      <iconSet iconSet="3Symbols">
        <cfvo type="percent" val="0"/>
        <cfvo type="percent" val="33"/>
        <cfvo type="percent" val="67"/>
      </iconSet>
    </cfRule>
  </conditionalFormatting>
  <conditionalFormatting sqref="I3:I4 I10:I12 I15:I17 I6:I8">
    <cfRule type="cellIs" dxfId="253" priority="46" operator="equal">
      <formula>"ДА"</formula>
    </cfRule>
    <cfRule type="cellIs" dxfId="252" priority="47" operator="equal">
      <formula>"НЕТ"</formula>
    </cfRule>
  </conditionalFormatting>
  <conditionalFormatting sqref="I3:I4 I6:I8">
    <cfRule type="colorScale" priority="48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251" priority="43" operator="equal">
      <formula>"ДА"</formula>
    </cfRule>
    <cfRule type="cellIs" dxfId="250" priority="44" operator="equal">
      <formula>"НЕТ"</formula>
    </cfRule>
  </conditionalFormatting>
  <conditionalFormatting sqref="I5">
    <cfRule type="cellIs" dxfId="249" priority="40" operator="equal">
      <formula>"ДА"</formula>
    </cfRule>
    <cfRule type="cellIs" dxfId="248" priority="41" operator="equal">
      <formula>"НЕТ"</formula>
    </cfRule>
  </conditionalFormatting>
  <conditionalFormatting sqref="I9">
    <cfRule type="colorScale" priority="4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247" priority="36" operator="equal">
      <formula>"ДА"</formula>
    </cfRule>
    <cfRule type="cellIs" dxfId="246" priority="37" operator="equal">
      <formula>"НЕТ"</formula>
    </cfRule>
  </conditionalFormatting>
  <conditionalFormatting sqref="I5">
    <cfRule type="colorScale" priority="4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38">
      <iconSet iconSet="3Symbols">
        <cfvo type="percent" val="0"/>
        <cfvo type="percent" val="33"/>
        <cfvo type="percent" val="67"/>
      </iconSet>
    </cfRule>
    <cfRule type="expression" priority="39">
      <formula>"H71=1"</formula>
    </cfRule>
  </conditionalFormatting>
  <conditionalFormatting sqref="I14">
    <cfRule type="cellIs" dxfId="245" priority="32" operator="equal">
      <formula>"ДА"</formula>
    </cfRule>
    <cfRule type="cellIs" dxfId="244" priority="33" operator="equal">
      <formula>"НЕТ"</formula>
    </cfRule>
  </conditionalFormatting>
  <conditionalFormatting sqref="H14">
    <cfRule type="iconSet" priority="34">
      <iconSet iconSet="3Symbols">
        <cfvo type="percent" val="0"/>
        <cfvo type="percent" val="33"/>
        <cfvo type="percent" val="67"/>
      </iconSet>
    </cfRule>
    <cfRule type="expression" priority="35">
      <formula>"H71=1"</formula>
    </cfRule>
  </conditionalFormatting>
  <conditionalFormatting sqref="I18">
    <cfRule type="cellIs" dxfId="243" priority="30" operator="equal">
      <formula>"ДА"</formula>
    </cfRule>
    <cfRule type="cellIs" dxfId="242" priority="31" operator="equal">
      <formula>"НЕТ"</formula>
    </cfRule>
  </conditionalFormatting>
  <conditionalFormatting sqref="I19:I21">
    <cfRule type="cellIs" dxfId="241" priority="28" operator="equal">
      <formula>"ДА"</formula>
    </cfRule>
    <cfRule type="cellIs" dxfId="240" priority="29" operator="equal">
      <formula>"НЕТ"</formula>
    </cfRule>
  </conditionalFormatting>
  <conditionalFormatting sqref="K3:K21">
    <cfRule type="cellIs" dxfId="239" priority="27" operator="greaterThan">
      <formula>0</formula>
    </cfRule>
  </conditionalFormatting>
  <conditionalFormatting sqref="I15:I21">
    <cfRule type="cellIs" dxfId="238" priority="24" operator="equal">
      <formula>"НЕТ"</formula>
    </cfRule>
  </conditionalFormatting>
  <conditionalFormatting sqref="I3:I21">
    <cfRule type="cellIs" dxfId="237" priority="22" operator="equal">
      <formula>"НЕТ"</formula>
    </cfRule>
    <cfRule type="cellIs" dxfId="236" priority="23" operator="equal">
      <formula>"ДА"</formula>
    </cfRule>
  </conditionalFormatting>
  <conditionalFormatting sqref="I3:I18">
    <cfRule type="cellIs" dxfId="235" priority="21" operator="equal">
      <formula>"ДА"</formula>
    </cfRule>
  </conditionalFormatting>
  <conditionalFormatting sqref="I5">
    <cfRule type="cellIs" dxfId="234" priority="18" operator="equal">
      <formula>"ДА"</formula>
    </cfRule>
    <cfRule type="cellIs" dxfId="233" priority="19" operator="equal">
      <formula>"НЕТ"</formula>
    </cfRule>
  </conditionalFormatting>
  <conditionalFormatting sqref="I5">
    <cfRule type="colorScale" priority="20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232" priority="15" operator="equal">
      <formula>"ДА"</formula>
    </cfRule>
    <cfRule type="cellIs" dxfId="231" priority="16" operator="equal">
      <formula>"НЕТ"</formula>
    </cfRule>
  </conditionalFormatting>
  <conditionalFormatting sqref="I9">
    <cfRule type="colorScale" priority="17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3:K21">
    <cfRule type="cellIs" dxfId="230" priority="3" operator="greaterThan">
      <formula>0</formula>
    </cfRule>
    <cfRule type="cellIs" dxfId="229" priority="14" operator="greaterThan">
      <formula>0</formula>
    </cfRule>
  </conditionalFormatting>
  <conditionalFormatting sqref="C61:E61">
    <cfRule type="cellIs" dxfId="228" priority="13" operator="greaterThan">
      <formula>0</formula>
    </cfRule>
  </conditionalFormatting>
  <conditionalFormatting sqref="C62:E62">
    <cfRule type="cellIs" dxfId="227" priority="12" operator="greaterThan">
      <formula>0</formula>
    </cfRule>
  </conditionalFormatting>
  <conditionalFormatting sqref="C61:E62">
    <cfRule type="cellIs" dxfId="226" priority="11" operator="greaterThan">
      <formula>0</formula>
    </cfRule>
  </conditionalFormatting>
  <conditionalFormatting sqref="C61:E62">
    <cfRule type="cellIs" dxfId="225" priority="10" operator="greaterThan">
      <formula>0</formula>
    </cfRule>
  </conditionalFormatting>
  <conditionalFormatting sqref="I5">
    <cfRule type="cellIs" dxfId="224" priority="7" operator="equal">
      <formula>"ДА"</formula>
    </cfRule>
    <cfRule type="cellIs" dxfId="223" priority="8" operator="equal">
      <formula>"НЕТ"</formula>
    </cfRule>
  </conditionalFormatting>
  <conditionalFormatting sqref="I5">
    <cfRule type="colorScale" priority="9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2:C18">
    <cfRule type="cellIs" dxfId="222" priority="6" operator="greaterThan">
      <formula>0</formula>
    </cfRule>
  </conditionalFormatting>
  <conditionalFormatting sqref="C68:E68 C23:E65">
    <cfRule type="cellIs" dxfId="221" priority="5" operator="greaterThan">
      <formula>0</formula>
    </cfRule>
  </conditionalFormatting>
  <conditionalFormatting sqref="E69">
    <cfRule type="cellIs" dxfId="220" priority="4" operator="greaterThan">
      <formula>0</formula>
    </cfRule>
  </conditionalFormatting>
  <conditionalFormatting sqref="C19:C20">
    <cfRule type="cellIs" dxfId="219" priority="2" operator="greaterThan">
      <formula>0</formula>
    </cfRule>
  </conditionalFormatting>
  <conditionalFormatting sqref="C66:E67">
    <cfRule type="cellIs" dxfId="218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M63"/>
  <sheetViews>
    <sheetView workbookViewId="0">
      <pane ySplit="19" topLeftCell="A20" activePane="bottomLeft" state="frozen"/>
      <selection pane="bottomLeft" activeCell="H33" sqref="H33"/>
    </sheetView>
  </sheetViews>
  <sheetFormatPr defaultRowHeight="11.25"/>
  <cols>
    <col min="1" max="1" width="5.33203125" customWidth="1"/>
    <col min="2" max="2" width="54.33203125" customWidth="1"/>
    <col min="4" max="4" width="11.83203125" customWidth="1"/>
    <col min="5" max="5" width="12.1640625" customWidth="1"/>
    <col min="6" max="6" width="18.5" customWidth="1"/>
    <col min="7" max="7" width="3.5" customWidth="1"/>
    <col min="8" max="8" width="48.33203125" customWidth="1"/>
    <col min="9" max="9" width="4.6640625" customWidth="1"/>
  </cols>
  <sheetData>
    <row r="1" spans="1:13" ht="56.25" customHeight="1" thickBot="1">
      <c r="A1" s="501"/>
      <c r="B1" s="1095"/>
      <c r="C1" s="1096"/>
      <c r="D1" s="1096"/>
      <c r="E1" s="1096"/>
      <c r="F1" s="501"/>
      <c r="G1" s="501"/>
      <c r="H1" s="501"/>
      <c r="I1" s="501"/>
      <c r="J1" s="501"/>
      <c r="K1" s="501"/>
      <c r="L1" s="501"/>
      <c r="M1" s="501"/>
    </row>
    <row r="2" spans="1:13" ht="12" customHeight="1" thickBot="1">
      <c r="A2" s="501"/>
      <c r="B2" s="503" t="s">
        <v>746</v>
      </c>
      <c r="C2" s="554">
        <v>3</v>
      </c>
      <c r="D2" s="1047" t="s">
        <v>675</v>
      </c>
      <c r="E2" s="1048"/>
      <c r="F2" s="1049"/>
      <c r="G2" s="535"/>
      <c r="H2" s="505" t="s">
        <v>565</v>
      </c>
      <c r="I2" s="506" t="s">
        <v>684</v>
      </c>
      <c r="J2" s="572" t="s">
        <v>4</v>
      </c>
      <c r="K2" s="573" t="s">
        <v>8</v>
      </c>
      <c r="L2" s="501"/>
      <c r="M2" s="501"/>
    </row>
    <row r="3" spans="1:13" ht="12" customHeight="1" thickBot="1">
      <c r="A3" s="501"/>
      <c r="B3" s="508" t="s">
        <v>747</v>
      </c>
      <c r="C3" s="686">
        <v>1</v>
      </c>
      <c r="D3" s="1050"/>
      <c r="E3" s="1051"/>
      <c r="F3" s="1052"/>
      <c r="G3" s="535"/>
      <c r="H3" s="509" t="s">
        <v>450</v>
      </c>
      <c r="I3" s="510" t="str">
        <f>IF(AND($C$7=1,$C$5+$C$6+$C$8=0,$C$9=2),"ДА","НЕТ")</f>
        <v>НЕТ</v>
      </c>
      <c r="J3" s="413"/>
      <c r="K3" s="414">
        <f>IF(I3="ДА",$C$10*J3,0)</f>
        <v>0</v>
      </c>
      <c r="L3" s="501"/>
      <c r="M3" s="501"/>
    </row>
    <row r="4" spans="1:13" ht="12" customHeight="1" thickBot="1">
      <c r="A4" s="501"/>
      <c r="B4" s="525" t="s">
        <v>163</v>
      </c>
      <c r="C4" s="690">
        <v>2</v>
      </c>
      <c r="D4" s="1099" t="s">
        <v>164</v>
      </c>
      <c r="E4" s="1100"/>
      <c r="F4" s="1101"/>
      <c r="G4" s="535"/>
      <c r="H4" s="512" t="s">
        <v>451</v>
      </c>
      <c r="I4" s="510" t="str">
        <f>IF(AND($C$7=1,$C$5+$C$6+$C$8=0,$C$9=2),"ДА","НЕТ")</f>
        <v>НЕТ</v>
      </c>
      <c r="J4" s="491"/>
      <c r="K4" s="414">
        <f>IF(I4="ДА",$C$10*J4,0)</f>
        <v>0</v>
      </c>
      <c r="L4" s="501"/>
      <c r="M4" s="501"/>
    </row>
    <row r="5" spans="1:13" ht="12" customHeight="1">
      <c r="A5" s="501"/>
      <c r="B5" s="515" t="s">
        <v>572</v>
      </c>
      <c r="C5" s="699">
        <v>0</v>
      </c>
      <c r="D5" s="518" t="s">
        <v>365</v>
      </c>
      <c r="E5" s="786" t="s">
        <v>327</v>
      </c>
      <c r="F5" s="1056" t="s">
        <v>677</v>
      </c>
      <c r="G5" s="535"/>
      <c r="H5" s="512" t="s">
        <v>452</v>
      </c>
      <c r="I5" s="510" t="str">
        <f>IF(AND($C$7=1,$C$5+$C$6+$C$8=0,$C$9=2),"ДА","НЕТ")</f>
        <v>НЕТ</v>
      </c>
      <c r="J5" s="491"/>
      <c r="K5" s="414">
        <f t="shared" ref="K5:K17" si="0">IF(I5="ДА",$C$10*J5,0)</f>
        <v>0</v>
      </c>
      <c r="L5" s="501"/>
      <c r="M5" s="501"/>
    </row>
    <row r="6" spans="1:13" ht="12" customHeight="1">
      <c r="A6" s="501"/>
      <c r="B6" s="513" t="s">
        <v>573</v>
      </c>
      <c r="C6" s="698">
        <v>1</v>
      </c>
      <c r="D6" s="520" t="s">
        <v>365</v>
      </c>
      <c r="E6" s="740" t="s">
        <v>327</v>
      </c>
      <c r="F6" s="1056"/>
      <c r="G6" s="535"/>
      <c r="H6" s="514" t="s">
        <v>454</v>
      </c>
      <c r="I6" s="510" t="str">
        <f>IF(AND($C$7=1,$C$5+$C$6+$C$8=0,$C$9=3),"ДА","НЕТ")</f>
        <v>НЕТ</v>
      </c>
      <c r="J6" s="417"/>
      <c r="K6" s="414">
        <f t="shared" si="0"/>
        <v>0</v>
      </c>
      <c r="L6" s="501"/>
      <c r="M6" s="501"/>
    </row>
    <row r="7" spans="1:13" ht="12" customHeight="1">
      <c r="A7" s="501"/>
      <c r="B7" s="513" t="s">
        <v>570</v>
      </c>
      <c r="C7" s="698">
        <v>0</v>
      </c>
      <c r="D7" s="520" t="s">
        <v>365</v>
      </c>
      <c r="E7" s="740" t="s">
        <v>327</v>
      </c>
      <c r="F7" s="1056"/>
      <c r="G7" s="535"/>
      <c r="H7" s="512" t="s">
        <v>569</v>
      </c>
      <c r="I7" s="510" t="str">
        <f>IF(AND($C$8=1,$C$5+$C$6+$C$7=0,$C$9=1),"ДА","НЕТ")</f>
        <v>НЕТ</v>
      </c>
      <c r="J7" s="491"/>
      <c r="K7" s="414">
        <f t="shared" si="0"/>
        <v>0</v>
      </c>
      <c r="L7" s="501"/>
      <c r="M7" s="501"/>
    </row>
    <row r="8" spans="1:13" ht="12" customHeight="1" thickBot="1">
      <c r="A8" s="501"/>
      <c r="B8" s="536" t="s">
        <v>571</v>
      </c>
      <c r="C8" s="697">
        <v>0</v>
      </c>
      <c r="D8" s="523" t="s">
        <v>365</v>
      </c>
      <c r="E8" s="527" t="s">
        <v>327</v>
      </c>
      <c r="F8" s="1057"/>
      <c r="G8" s="535"/>
      <c r="H8" s="514" t="s">
        <v>566</v>
      </c>
      <c r="I8" s="510" t="str">
        <f>IF(AND($C$8=1,$C$5+$C$6+$C$7=0,$C$9=3),"ДА","НЕТ")</f>
        <v>НЕТ</v>
      </c>
      <c r="J8" s="417"/>
      <c r="K8" s="414">
        <f t="shared" si="0"/>
        <v>0</v>
      </c>
      <c r="L8" s="501"/>
      <c r="M8" s="501"/>
    </row>
    <row r="9" spans="1:13" ht="12" customHeight="1" thickBot="1">
      <c r="A9" s="501"/>
      <c r="B9" s="525" t="s">
        <v>669</v>
      </c>
      <c r="C9" s="689">
        <v>0</v>
      </c>
      <c r="D9" s="529" t="s">
        <v>699</v>
      </c>
      <c r="E9" s="530" t="s">
        <v>700</v>
      </c>
      <c r="F9" s="532" t="s">
        <v>701</v>
      </c>
      <c r="G9" s="535"/>
      <c r="H9" s="514" t="s">
        <v>567</v>
      </c>
      <c r="I9" s="510" t="str">
        <f>IF(AND($C$8=1,$C$5+$C$6+$C$7=0,$C$9=2),"ДА","НЕТ")</f>
        <v>НЕТ</v>
      </c>
      <c r="J9" s="417"/>
      <c r="K9" s="414">
        <f t="shared" si="0"/>
        <v>0</v>
      </c>
      <c r="L9" s="501"/>
      <c r="M9" s="501"/>
    </row>
    <row r="10" spans="1:13" ht="12" customHeight="1" thickBot="1">
      <c r="A10" s="501"/>
      <c r="B10" s="515" t="s">
        <v>152</v>
      </c>
      <c r="C10" s="691">
        <v>1</v>
      </c>
      <c r="D10" s="1099" t="s">
        <v>755</v>
      </c>
      <c r="E10" s="1100"/>
      <c r="F10" s="1101"/>
      <c r="G10" s="535"/>
      <c r="H10" s="514" t="s">
        <v>568</v>
      </c>
      <c r="I10" s="510" t="str">
        <f>IF(AND($C$8=1,$C$5+$C$6+$C$7=0,$C$9=2),"ДА","НЕТ")</f>
        <v>НЕТ</v>
      </c>
      <c r="J10" s="417"/>
      <c r="K10" s="414">
        <f t="shared" si="0"/>
        <v>0</v>
      </c>
      <c r="L10" s="501"/>
      <c r="M10" s="501"/>
    </row>
    <row r="11" spans="1:13" ht="12" customHeight="1" thickBot="1">
      <c r="A11" s="501"/>
      <c r="B11" s="525" t="s">
        <v>436</v>
      </c>
      <c r="C11" s="689">
        <v>0</v>
      </c>
      <c r="D11" s="529" t="s">
        <v>437</v>
      </c>
      <c r="E11" s="532" t="s">
        <v>438</v>
      </c>
      <c r="F11" s="725"/>
      <c r="G11" s="535"/>
      <c r="H11" s="514" t="s">
        <v>574</v>
      </c>
      <c r="I11" s="510" t="str">
        <f>IF(AND($C$8=1,$C$5+$C$6+$C$7=0,$C$9=2),"ДА","НЕТ")</f>
        <v>НЕТ</v>
      </c>
      <c r="J11" s="417"/>
      <c r="K11" s="414">
        <f t="shared" si="0"/>
        <v>0</v>
      </c>
      <c r="L11" s="501"/>
      <c r="M11" s="501"/>
    </row>
    <row r="12" spans="1:13" ht="12" customHeight="1" thickBot="1">
      <c r="A12" s="501"/>
      <c r="B12" s="787" t="s">
        <v>582</v>
      </c>
      <c r="C12" s="692">
        <v>0</v>
      </c>
      <c r="D12" s="1099" t="s">
        <v>620</v>
      </c>
      <c r="E12" s="1100"/>
      <c r="F12" s="1101"/>
      <c r="G12" s="535"/>
      <c r="H12" s="509" t="s">
        <v>460</v>
      </c>
      <c r="I12" s="510" t="str">
        <f>IF(AND($C$5=1,$C$8+$C$7+$C$6=0,$C$9=1),"ДА","НЕТ")</f>
        <v>НЕТ</v>
      </c>
      <c r="J12" s="420"/>
      <c r="K12" s="414">
        <f t="shared" si="0"/>
        <v>0</v>
      </c>
      <c r="L12" s="501"/>
      <c r="M12" s="501"/>
    </row>
    <row r="13" spans="1:13" ht="12" customHeight="1">
      <c r="A13" s="501"/>
      <c r="B13" s="503" t="s">
        <v>476</v>
      </c>
      <c r="C13" s="693">
        <v>0</v>
      </c>
      <c r="D13" s="516" t="s">
        <v>365</v>
      </c>
      <c r="E13" s="721" t="s">
        <v>327</v>
      </c>
      <c r="F13" s="1068" t="s">
        <v>677</v>
      </c>
      <c r="G13" s="535"/>
      <c r="H13" s="509" t="s">
        <v>461</v>
      </c>
      <c r="I13" s="510" t="str">
        <f>IF(AND($C$5=1,$C$8+$C$7+$C$6=0,$C$9=3),"ДА","НЕТ")</f>
        <v>НЕТ</v>
      </c>
      <c r="J13" s="420"/>
      <c r="K13" s="414">
        <f t="shared" si="0"/>
        <v>0</v>
      </c>
      <c r="L13" s="501"/>
      <c r="M13" s="501"/>
    </row>
    <row r="14" spans="1:13" ht="12" customHeight="1" thickBot="1">
      <c r="A14" s="501"/>
      <c r="B14" s="508" t="s">
        <v>477</v>
      </c>
      <c r="C14" s="694">
        <v>0</v>
      </c>
      <c r="D14" s="523" t="s">
        <v>365</v>
      </c>
      <c r="E14" s="527" t="s">
        <v>327</v>
      </c>
      <c r="F14" s="1069"/>
      <c r="G14" s="535"/>
      <c r="H14" s="509" t="s">
        <v>462</v>
      </c>
      <c r="I14" s="510" t="str">
        <f>IF(AND($C$6=1,$C$7+$C$8+$C$5=0,$C$9=1),"ДА","НЕТ")</f>
        <v>НЕТ</v>
      </c>
      <c r="J14" s="420"/>
      <c r="K14" s="414">
        <f t="shared" si="0"/>
        <v>0</v>
      </c>
      <c r="L14" s="501"/>
      <c r="M14" s="501"/>
    </row>
    <row r="15" spans="1:13" ht="12" customHeight="1">
      <c r="A15" s="501"/>
      <c r="B15" s="503" t="s">
        <v>205</v>
      </c>
      <c r="C15" s="560">
        <v>0</v>
      </c>
      <c r="D15" s="1058" t="s">
        <v>766</v>
      </c>
      <c r="E15" s="1059"/>
      <c r="F15" s="1060"/>
      <c r="G15" s="535"/>
      <c r="H15" s="512" t="s">
        <v>463</v>
      </c>
      <c r="I15" s="510" t="str">
        <f>IF(AND($C$6=1,$C$7+$C$8+$C$5=0,$C$9=1),"ДА","НЕТ")</f>
        <v>НЕТ</v>
      </c>
      <c r="J15" s="420"/>
      <c r="K15" s="414">
        <f t="shared" si="0"/>
        <v>0</v>
      </c>
      <c r="L15" s="501"/>
      <c r="M15" s="501"/>
    </row>
    <row r="16" spans="1:13" ht="12" customHeight="1">
      <c r="A16" s="501"/>
      <c r="B16" s="513" t="s">
        <v>204</v>
      </c>
      <c r="C16" s="557">
        <v>0</v>
      </c>
      <c r="D16" s="1061" t="s">
        <v>767</v>
      </c>
      <c r="E16" s="1062"/>
      <c r="F16" s="1063"/>
      <c r="G16" s="535"/>
      <c r="H16" s="509" t="s">
        <v>467</v>
      </c>
      <c r="I16" s="510" t="str">
        <f>IF(AND($C$6=1,$C$7+$C$8+$C$5=0,$C$9=2),"ДА","НЕТ")</f>
        <v>НЕТ</v>
      </c>
      <c r="J16" s="420"/>
      <c r="K16" s="414">
        <f t="shared" si="0"/>
        <v>0</v>
      </c>
      <c r="L16" s="501"/>
      <c r="M16" s="501"/>
    </row>
    <row r="17" spans="1:13" ht="12" customHeight="1" thickBot="1">
      <c r="A17" s="501"/>
      <c r="B17" s="508" t="s">
        <v>197</v>
      </c>
      <c r="C17" s="559">
        <v>0</v>
      </c>
      <c r="D17" s="1064" t="s">
        <v>768</v>
      </c>
      <c r="E17" s="1065"/>
      <c r="F17" s="1066"/>
      <c r="G17" s="535"/>
      <c r="H17" s="533" t="s">
        <v>468</v>
      </c>
      <c r="I17" s="534" t="str">
        <f>IF(AND($C$6=1,$C$7+$C$8+$C$5=0,$C$9=2),"ДА","НЕТ")</f>
        <v>НЕТ</v>
      </c>
      <c r="J17" s="427"/>
      <c r="K17" s="571">
        <f t="shared" si="0"/>
        <v>0</v>
      </c>
      <c r="L17" s="501"/>
      <c r="M17" s="501"/>
    </row>
    <row r="18" spans="1:13" s="89" customFormat="1" ht="12" customHeight="1" thickBot="1">
      <c r="A18" s="736"/>
      <c r="B18" s="735"/>
      <c r="C18" s="735"/>
      <c r="D18" s="735"/>
      <c r="E18" s="539"/>
      <c r="F18" s="539"/>
      <c r="G18" s="539"/>
      <c r="H18" s="660"/>
      <c r="I18" s="661"/>
      <c r="J18" s="431"/>
      <c r="K18" s="432"/>
      <c r="L18" s="736"/>
      <c r="M18" s="736"/>
    </row>
    <row r="19" spans="1:13" ht="12" customHeight="1" thickBot="1">
      <c r="A19" s="501"/>
      <c r="B19" s="788" t="s">
        <v>5</v>
      </c>
      <c r="C19" s="789" t="s">
        <v>0</v>
      </c>
      <c r="D19" s="790" t="s">
        <v>4</v>
      </c>
      <c r="E19" s="791" t="s">
        <v>8</v>
      </c>
      <c r="F19" s="535"/>
      <c r="G19" s="535"/>
      <c r="H19" s="535"/>
      <c r="I19" s="535"/>
      <c r="J19" s="535"/>
      <c r="K19" s="535"/>
      <c r="L19" s="501"/>
      <c r="M19" s="501"/>
    </row>
    <row r="20" spans="1:13" ht="12" customHeight="1">
      <c r="A20" s="501"/>
      <c r="B20" s="792" t="s">
        <v>480</v>
      </c>
      <c r="C20" s="695">
        <f>C2*C10</f>
        <v>3</v>
      </c>
      <c r="D20" s="688"/>
      <c r="E20" s="696">
        <f>C20*D20</f>
        <v>0</v>
      </c>
      <c r="F20" s="535"/>
      <c r="G20" s="535"/>
      <c r="H20" s="535"/>
      <c r="I20" s="535"/>
      <c r="J20" s="535"/>
      <c r="K20" s="535"/>
      <c r="L20" s="501"/>
      <c r="M20" s="501"/>
    </row>
    <row r="21" spans="1:13" ht="12" customHeight="1">
      <c r="A21" s="501"/>
      <c r="B21" s="547" t="s">
        <v>481</v>
      </c>
      <c r="C21" s="442">
        <f>IF(C14=1,C2*C10,0)</f>
        <v>0</v>
      </c>
      <c r="D21" s="649"/>
      <c r="E21" s="439">
        <f>C21*D21</f>
        <v>0</v>
      </c>
      <c r="F21" s="535"/>
      <c r="G21" s="535"/>
      <c r="H21" s="535"/>
      <c r="I21" s="535"/>
      <c r="J21" s="535"/>
      <c r="K21" s="535"/>
      <c r="L21" s="501"/>
      <c r="M21" s="501"/>
    </row>
    <row r="22" spans="1:13" ht="12" customHeight="1">
      <c r="A22" s="501"/>
      <c r="B22" s="545" t="s">
        <v>478</v>
      </c>
      <c r="C22" s="437">
        <f>IF(AND(C13=1,C14=0),(C4*C10)*2,0)</f>
        <v>0</v>
      </c>
      <c r="D22" s="649"/>
      <c r="E22" s="439">
        <f>C22*D22</f>
        <v>0</v>
      </c>
      <c r="F22" s="535"/>
      <c r="G22" s="535"/>
      <c r="H22" s="535"/>
      <c r="I22" s="535"/>
      <c r="J22" s="793"/>
      <c r="K22" s="535"/>
      <c r="L22" s="501"/>
      <c r="M22" s="501"/>
    </row>
    <row r="23" spans="1:13" ht="12" customHeight="1">
      <c r="A23" s="501"/>
      <c r="B23" s="545" t="s">
        <v>479</v>
      </c>
      <c r="C23" s="437">
        <f>IF(AND(C13=0,C14=1),C4*C10,0)</f>
        <v>0</v>
      </c>
      <c r="D23" s="649"/>
      <c r="E23" s="439">
        <f>C23*D23</f>
        <v>0</v>
      </c>
      <c r="F23" s="535"/>
      <c r="G23" s="535"/>
      <c r="H23" s="535"/>
      <c r="I23" s="535"/>
      <c r="J23" s="535"/>
      <c r="K23" s="535"/>
      <c r="L23" s="501"/>
      <c r="M23" s="501"/>
    </row>
    <row r="24" spans="1:13" ht="12" customHeight="1">
      <c r="A24" s="501"/>
      <c r="B24" s="547" t="s">
        <v>526</v>
      </c>
      <c r="C24" s="442">
        <f>IF(C11=0,C10*2,0)</f>
        <v>2</v>
      </c>
      <c r="D24" s="449"/>
      <c r="E24" s="439">
        <f t="shared" ref="E24:E58" si="1">C24*D24</f>
        <v>0</v>
      </c>
      <c r="F24" s="535"/>
      <c r="G24" s="535"/>
      <c r="H24" s="535"/>
      <c r="I24" s="535"/>
      <c r="J24" s="535"/>
      <c r="K24" s="535"/>
      <c r="L24" s="501"/>
      <c r="M24" s="501"/>
    </row>
    <row r="25" spans="1:13" ht="12" customHeight="1">
      <c r="A25" s="501"/>
      <c r="B25" s="547" t="s">
        <v>583</v>
      </c>
      <c r="C25" s="442">
        <f>IF(C11=0,((C4-1)+C12)*C10,0)</f>
        <v>1</v>
      </c>
      <c r="D25" s="449"/>
      <c r="E25" s="439">
        <f t="shared" si="1"/>
        <v>0</v>
      </c>
      <c r="F25" s="535"/>
      <c r="G25" s="535"/>
      <c r="H25" s="535"/>
      <c r="I25" s="535"/>
      <c r="J25" s="535"/>
      <c r="K25" s="535"/>
      <c r="L25" s="501"/>
      <c r="M25" s="501"/>
    </row>
    <row r="26" spans="1:13" ht="12" customHeight="1">
      <c r="A26" s="501"/>
      <c r="B26" s="547" t="s">
        <v>604</v>
      </c>
      <c r="C26" s="442">
        <f>IF(C11=1,C10*2,0)</f>
        <v>0</v>
      </c>
      <c r="D26" s="449"/>
      <c r="E26" s="439">
        <f>C26*D26</f>
        <v>0</v>
      </c>
      <c r="F26" s="535"/>
      <c r="G26" s="535"/>
      <c r="H26" s="535"/>
      <c r="I26" s="535"/>
      <c r="J26" s="535"/>
      <c r="K26" s="535"/>
      <c r="L26" s="501"/>
      <c r="M26" s="501"/>
    </row>
    <row r="27" spans="1:13" ht="12" customHeight="1">
      <c r="A27" s="501"/>
      <c r="B27" s="547" t="s">
        <v>622</v>
      </c>
      <c r="C27" s="442">
        <f>IF(C11=1,((C4-1)+C12)*C10,0)</f>
        <v>0</v>
      </c>
      <c r="D27" s="449"/>
      <c r="E27" s="439">
        <f>C27*D27</f>
        <v>0</v>
      </c>
      <c r="F27" s="535"/>
      <c r="G27" s="535"/>
      <c r="H27" s="535"/>
      <c r="I27" s="535"/>
      <c r="J27" s="535"/>
      <c r="K27" s="535"/>
      <c r="L27" s="501"/>
      <c r="M27" s="501"/>
    </row>
    <row r="28" spans="1:13" ht="12" customHeight="1">
      <c r="A28" s="501"/>
      <c r="B28" s="547" t="s">
        <v>689</v>
      </c>
      <c r="C28" s="442">
        <f>IF(C11=0,C10*2,0)</f>
        <v>2</v>
      </c>
      <c r="D28" s="449"/>
      <c r="E28" s="439">
        <f t="shared" si="1"/>
        <v>0</v>
      </c>
      <c r="F28" s="535"/>
      <c r="G28" s="535"/>
      <c r="H28" s="535"/>
      <c r="I28" s="535"/>
      <c r="J28" s="535"/>
      <c r="K28" s="535"/>
      <c r="L28" s="501"/>
      <c r="M28" s="501"/>
    </row>
    <row r="29" spans="1:13" ht="12" customHeight="1">
      <c r="A29" s="501"/>
      <c r="B29" s="547" t="s">
        <v>694</v>
      </c>
      <c r="C29" s="442">
        <f>IF(C11=1,C10*2,0)</f>
        <v>0</v>
      </c>
      <c r="D29" s="449"/>
      <c r="E29" s="439">
        <f>C29*D29</f>
        <v>0</v>
      </c>
      <c r="F29" s="535"/>
      <c r="G29" s="535"/>
      <c r="H29" s="535"/>
      <c r="I29" s="535"/>
      <c r="J29" s="535"/>
      <c r="K29" s="535"/>
      <c r="L29" s="501"/>
      <c r="M29" s="501"/>
    </row>
    <row r="30" spans="1:13" ht="12" customHeight="1">
      <c r="A30" s="501"/>
      <c r="B30" s="545" t="s">
        <v>553</v>
      </c>
      <c r="C30" s="437">
        <f>C2*C10*(C5+C7)</f>
        <v>0</v>
      </c>
      <c r="D30" s="492"/>
      <c r="E30" s="439">
        <f t="shared" si="1"/>
        <v>0</v>
      </c>
      <c r="F30" s="535"/>
      <c r="G30" s="535"/>
      <c r="H30" s="535"/>
      <c r="I30" s="535"/>
      <c r="J30" s="535"/>
      <c r="K30" s="535"/>
      <c r="L30" s="501"/>
      <c r="M30" s="501"/>
    </row>
    <row r="31" spans="1:13" ht="12" customHeight="1">
      <c r="A31" s="501"/>
      <c r="B31" s="547" t="s">
        <v>560</v>
      </c>
      <c r="C31" s="442">
        <f>C2*C10*(C6+C8)</f>
        <v>3</v>
      </c>
      <c r="D31" s="449"/>
      <c r="E31" s="439">
        <f t="shared" si="1"/>
        <v>0</v>
      </c>
      <c r="F31" s="535"/>
      <c r="G31" s="535"/>
      <c r="H31" s="535"/>
      <c r="I31" s="535"/>
      <c r="J31" s="535"/>
      <c r="K31" s="535"/>
      <c r="L31" s="501"/>
      <c r="M31" s="501"/>
    </row>
    <row r="32" spans="1:13" ht="12" customHeight="1">
      <c r="A32" s="501"/>
      <c r="B32" s="547" t="s">
        <v>556</v>
      </c>
      <c r="C32" s="442">
        <f>C2*C10</f>
        <v>3</v>
      </c>
      <c r="D32" s="649"/>
      <c r="E32" s="648">
        <f t="shared" si="1"/>
        <v>0</v>
      </c>
      <c r="F32" s="535"/>
      <c r="G32" s="535"/>
      <c r="H32" s="535"/>
      <c r="I32" s="535"/>
      <c r="J32" s="535"/>
      <c r="K32" s="535"/>
      <c r="L32" s="501"/>
      <c r="M32" s="501"/>
    </row>
    <row r="33" spans="1:13" ht="12" customHeight="1">
      <c r="A33" s="501"/>
      <c r="B33" s="545" t="s">
        <v>530</v>
      </c>
      <c r="C33" s="437">
        <f>C2*C10*(C5+C7)</f>
        <v>0</v>
      </c>
      <c r="D33" s="492"/>
      <c r="E33" s="439">
        <f t="shared" si="1"/>
        <v>0</v>
      </c>
      <c r="F33" s="535"/>
      <c r="G33" s="535"/>
      <c r="H33" s="535"/>
      <c r="I33" s="535"/>
      <c r="J33" s="535"/>
      <c r="K33" s="535"/>
      <c r="L33" s="501"/>
      <c r="M33" s="501"/>
    </row>
    <row r="34" spans="1:13" ht="12" customHeight="1">
      <c r="A34" s="501"/>
      <c r="B34" s="545" t="s">
        <v>529</v>
      </c>
      <c r="C34" s="437">
        <f>C2*C10*(C6+C8)</f>
        <v>3</v>
      </c>
      <c r="D34" s="492"/>
      <c r="E34" s="439">
        <f>C34*D34</f>
        <v>0</v>
      </c>
      <c r="F34" s="535"/>
      <c r="G34" s="535"/>
      <c r="H34" s="535"/>
      <c r="I34" s="535"/>
      <c r="J34" s="535"/>
      <c r="K34" s="535"/>
      <c r="L34" s="501"/>
      <c r="M34" s="501"/>
    </row>
    <row r="35" spans="1:13" ht="12" customHeight="1">
      <c r="A35" s="501"/>
      <c r="B35" s="547" t="s">
        <v>445</v>
      </c>
      <c r="C35" s="442">
        <f>C10*(C5+C7)</f>
        <v>0</v>
      </c>
      <c r="D35" s="449"/>
      <c r="E35" s="439">
        <f t="shared" si="1"/>
        <v>0</v>
      </c>
      <c r="F35" s="535"/>
      <c r="G35" s="535"/>
      <c r="H35" s="535"/>
      <c r="I35" s="535"/>
      <c r="J35" s="535"/>
      <c r="K35" s="535"/>
      <c r="L35" s="501"/>
      <c r="M35" s="501"/>
    </row>
    <row r="36" spans="1:13" ht="12" customHeight="1">
      <c r="A36" s="501"/>
      <c r="B36" s="547" t="s">
        <v>808</v>
      </c>
      <c r="C36" s="442">
        <f>C10*(C6+C8)</f>
        <v>1</v>
      </c>
      <c r="D36" s="449"/>
      <c r="E36" s="439">
        <f t="shared" si="1"/>
        <v>0</v>
      </c>
      <c r="F36" s="535"/>
      <c r="G36" s="535"/>
      <c r="H36" s="535"/>
      <c r="I36" s="535"/>
      <c r="J36" s="535"/>
      <c r="K36" s="535"/>
      <c r="L36" s="501"/>
      <c r="M36" s="501"/>
    </row>
    <row r="37" spans="1:13" ht="12" customHeight="1">
      <c r="A37" s="501"/>
      <c r="B37" s="547" t="s">
        <v>807</v>
      </c>
      <c r="C37" s="442">
        <f>C10*(C4*2-2)*(C6+C8)</f>
        <v>2</v>
      </c>
      <c r="D37" s="449"/>
      <c r="E37" s="665">
        <f>C37*D37</f>
        <v>0</v>
      </c>
      <c r="F37" s="535"/>
      <c r="G37" s="535"/>
      <c r="H37" s="535"/>
      <c r="I37" s="535"/>
      <c r="J37" s="535"/>
      <c r="K37" s="535"/>
      <c r="L37" s="501"/>
      <c r="M37" s="501"/>
    </row>
    <row r="38" spans="1:13" ht="12" customHeight="1">
      <c r="A38" s="501"/>
      <c r="B38" s="547" t="s">
        <v>584</v>
      </c>
      <c r="C38" s="442">
        <f>(C4-1)*C10</f>
        <v>1</v>
      </c>
      <c r="D38" s="449"/>
      <c r="E38" s="439">
        <f t="shared" si="1"/>
        <v>0</v>
      </c>
      <c r="F38" s="535"/>
      <c r="G38" s="535"/>
      <c r="H38" s="535"/>
      <c r="I38" s="535"/>
      <c r="J38" s="535"/>
      <c r="K38" s="535"/>
      <c r="L38" s="501"/>
      <c r="M38" s="501"/>
    </row>
    <row r="39" spans="1:13" ht="12" customHeight="1">
      <c r="A39" s="501"/>
      <c r="B39" s="547" t="s">
        <v>585</v>
      </c>
      <c r="C39" s="442">
        <f>(C4-1)*C10</f>
        <v>1</v>
      </c>
      <c r="D39" s="449"/>
      <c r="E39" s="439">
        <f t="shared" si="1"/>
        <v>0</v>
      </c>
      <c r="F39" s="535"/>
      <c r="G39" s="535"/>
      <c r="H39" s="535"/>
      <c r="I39" s="535"/>
      <c r="J39" s="535"/>
      <c r="K39" s="535"/>
      <c r="L39" s="501"/>
      <c r="M39" s="501"/>
    </row>
    <row r="40" spans="1:13" ht="12" customHeight="1">
      <c r="A40" s="501"/>
      <c r="B40" s="547" t="s">
        <v>558</v>
      </c>
      <c r="C40" s="442">
        <f>C10</f>
        <v>1</v>
      </c>
      <c r="D40" s="449"/>
      <c r="E40" s="439">
        <f t="shared" si="1"/>
        <v>0</v>
      </c>
      <c r="F40" s="535"/>
      <c r="G40" s="535"/>
      <c r="H40" s="535"/>
      <c r="I40" s="535"/>
      <c r="J40" s="535"/>
      <c r="K40" s="535"/>
      <c r="L40" s="501"/>
      <c r="M40" s="501"/>
    </row>
    <row r="41" spans="1:13" ht="12" customHeight="1">
      <c r="A41" s="501"/>
      <c r="B41" s="548" t="s">
        <v>586</v>
      </c>
      <c r="C41" s="495">
        <f>(C4-1+C12)*C10</f>
        <v>1</v>
      </c>
      <c r="D41" s="449"/>
      <c r="E41" s="496">
        <f t="shared" si="1"/>
        <v>0</v>
      </c>
      <c r="F41" s="535"/>
      <c r="G41" s="535"/>
      <c r="H41" s="535"/>
      <c r="I41" s="535"/>
      <c r="J41" s="535"/>
      <c r="K41" s="535"/>
      <c r="L41" s="501"/>
      <c r="M41" s="501"/>
    </row>
    <row r="42" spans="1:13" ht="12" customHeight="1">
      <c r="A42" s="501"/>
      <c r="B42" s="547" t="s">
        <v>446</v>
      </c>
      <c r="C42" s="442">
        <f>(C24+C25+C26+C27)*2</f>
        <v>6</v>
      </c>
      <c r="D42" s="649"/>
      <c r="E42" s="665">
        <f t="shared" si="1"/>
        <v>0</v>
      </c>
      <c r="F42" s="794"/>
      <c r="G42" s="535"/>
      <c r="H42" s="535"/>
      <c r="I42" s="535"/>
      <c r="J42" s="535"/>
      <c r="K42" s="535"/>
      <c r="L42" s="501"/>
      <c r="M42" s="501"/>
    </row>
    <row r="43" spans="1:13" ht="12" customHeight="1">
      <c r="A43" s="501"/>
      <c r="B43" s="545" t="s">
        <v>697</v>
      </c>
      <c r="C43" s="437">
        <f>C2*C10</f>
        <v>3</v>
      </c>
      <c r="D43" s="492"/>
      <c r="E43" s="439">
        <f t="shared" si="1"/>
        <v>0</v>
      </c>
      <c r="F43" s="535"/>
      <c r="G43" s="535"/>
      <c r="H43" s="535"/>
      <c r="I43" s="535"/>
      <c r="J43" s="535"/>
      <c r="K43" s="535"/>
      <c r="L43" s="501"/>
      <c r="M43" s="501"/>
    </row>
    <row r="44" spans="1:13" ht="12" customHeight="1">
      <c r="A44" s="501"/>
      <c r="B44" s="548" t="s">
        <v>587</v>
      </c>
      <c r="C44" s="495">
        <f>(C4-1+C12)*C10</f>
        <v>1</v>
      </c>
      <c r="D44" s="449"/>
      <c r="E44" s="496">
        <f t="shared" si="1"/>
        <v>0</v>
      </c>
      <c r="F44" s="535"/>
      <c r="G44" s="535"/>
      <c r="H44" s="535"/>
      <c r="I44" s="535"/>
      <c r="J44" s="535"/>
      <c r="K44" s="535"/>
      <c r="L44" s="501"/>
      <c r="M44" s="501"/>
    </row>
    <row r="45" spans="1:13" ht="12" customHeight="1">
      <c r="A45" s="501"/>
      <c r="B45" s="548" t="s">
        <v>588</v>
      </c>
      <c r="C45" s="495">
        <f>C12*C10</f>
        <v>0</v>
      </c>
      <c r="D45" s="449"/>
      <c r="E45" s="496">
        <f t="shared" si="1"/>
        <v>0</v>
      </c>
      <c r="F45" s="795"/>
      <c r="G45" s="535"/>
      <c r="H45" s="535"/>
      <c r="I45" s="535"/>
      <c r="J45" s="535"/>
      <c r="K45" s="535"/>
      <c r="L45" s="501"/>
      <c r="M45" s="501"/>
    </row>
    <row r="46" spans="1:13" ht="12" customHeight="1">
      <c r="A46" s="501"/>
      <c r="B46" s="547" t="s">
        <v>559</v>
      </c>
      <c r="C46" s="442">
        <f>EVEN(ROUNDDOWN(IF(C4&gt;0,(C2/0.5)*C10,0),0))</f>
        <v>6</v>
      </c>
      <c r="D46" s="443"/>
      <c r="E46" s="439">
        <f t="shared" si="1"/>
        <v>0</v>
      </c>
      <c r="F46" s="535"/>
      <c r="G46" s="535"/>
      <c r="H46" s="535"/>
      <c r="I46" s="535"/>
      <c r="J46" s="535"/>
      <c r="K46" s="535"/>
      <c r="L46" s="501"/>
      <c r="M46" s="501"/>
    </row>
    <row r="47" spans="1:13" ht="12" customHeight="1">
      <c r="A47" s="501"/>
      <c r="B47" s="548" t="s">
        <v>456</v>
      </c>
      <c r="C47" s="495">
        <f>C10*C8</f>
        <v>0</v>
      </c>
      <c r="D47" s="449"/>
      <c r="E47" s="496">
        <f t="shared" si="1"/>
        <v>0</v>
      </c>
      <c r="F47" s="535"/>
      <c r="G47" s="535"/>
      <c r="H47" s="535"/>
      <c r="I47" s="535"/>
      <c r="J47" s="535"/>
      <c r="K47" s="535"/>
      <c r="L47" s="501"/>
      <c r="M47" s="501"/>
    </row>
    <row r="48" spans="1:13" ht="12" customHeight="1">
      <c r="A48" s="501"/>
      <c r="B48" s="548" t="s">
        <v>465</v>
      </c>
      <c r="C48" s="495">
        <f>C10*C6</f>
        <v>1</v>
      </c>
      <c r="D48" s="449"/>
      <c r="E48" s="496">
        <f t="shared" si="1"/>
        <v>0</v>
      </c>
      <c r="F48" s="535"/>
      <c r="G48" s="535"/>
      <c r="H48" s="535"/>
      <c r="I48" s="535"/>
      <c r="J48" s="535"/>
      <c r="K48" s="535"/>
      <c r="L48" s="501"/>
      <c r="M48" s="501"/>
    </row>
    <row r="49" spans="1:13" ht="12" customHeight="1">
      <c r="A49" s="501"/>
      <c r="B49" s="548" t="s">
        <v>466</v>
      </c>
      <c r="C49" s="495">
        <f>C10*C6</f>
        <v>1</v>
      </c>
      <c r="D49" s="449"/>
      <c r="E49" s="496">
        <f t="shared" si="1"/>
        <v>0</v>
      </c>
      <c r="F49" s="535"/>
      <c r="G49" s="535"/>
      <c r="H49" s="535"/>
      <c r="I49" s="535"/>
      <c r="J49" s="535"/>
      <c r="K49" s="535"/>
      <c r="L49" s="501"/>
      <c r="M49" s="501"/>
    </row>
    <row r="50" spans="1:13" ht="12" customHeight="1">
      <c r="A50" s="501"/>
      <c r="B50" s="548" t="s">
        <v>455</v>
      </c>
      <c r="C50" s="495">
        <f>C10*C8</f>
        <v>0</v>
      </c>
      <c r="D50" s="449"/>
      <c r="E50" s="496">
        <f t="shared" si="1"/>
        <v>0</v>
      </c>
      <c r="F50" s="535"/>
      <c r="G50" s="535"/>
      <c r="H50" s="535"/>
      <c r="I50" s="535"/>
      <c r="J50" s="535"/>
      <c r="K50" s="535"/>
      <c r="L50" s="501"/>
      <c r="M50" s="501"/>
    </row>
    <row r="51" spans="1:13" ht="12" customHeight="1">
      <c r="A51" s="501"/>
      <c r="B51" s="548" t="s">
        <v>533</v>
      </c>
      <c r="C51" s="495">
        <f>(C5+C7)*C10</f>
        <v>0</v>
      </c>
      <c r="D51" s="449"/>
      <c r="E51" s="496">
        <f t="shared" si="1"/>
        <v>0</v>
      </c>
      <c r="F51" s="535"/>
      <c r="G51" s="535"/>
      <c r="H51" s="535"/>
      <c r="I51" s="535"/>
      <c r="J51" s="535"/>
      <c r="K51" s="535"/>
      <c r="L51" s="501"/>
      <c r="M51" s="501"/>
    </row>
    <row r="52" spans="1:13" ht="12" customHeight="1">
      <c r="A52" s="501"/>
      <c r="B52" s="548" t="s">
        <v>453</v>
      </c>
      <c r="C52" s="495">
        <f>C7*C10</f>
        <v>0</v>
      </c>
      <c r="D52" s="449"/>
      <c r="E52" s="496">
        <f t="shared" si="1"/>
        <v>0</v>
      </c>
      <c r="F52" s="535"/>
      <c r="G52" s="535"/>
      <c r="H52" s="535"/>
      <c r="I52" s="535"/>
      <c r="J52" s="535"/>
      <c r="K52" s="535"/>
      <c r="L52" s="501"/>
      <c r="M52" s="501"/>
    </row>
    <row r="53" spans="1:13" ht="12" customHeight="1">
      <c r="A53" s="501"/>
      <c r="B53" s="548" t="s">
        <v>575</v>
      </c>
      <c r="C53" s="495">
        <f>C7*C10</f>
        <v>0</v>
      </c>
      <c r="D53" s="449"/>
      <c r="E53" s="496">
        <f t="shared" si="1"/>
        <v>0</v>
      </c>
      <c r="F53" s="745"/>
      <c r="G53" s="535"/>
      <c r="H53" s="535"/>
      <c r="I53" s="535"/>
      <c r="J53" s="535"/>
      <c r="K53" s="535"/>
      <c r="L53" s="501"/>
      <c r="M53" s="501"/>
    </row>
    <row r="54" spans="1:13" ht="12" customHeight="1">
      <c r="A54" s="501"/>
      <c r="B54" s="548" t="s">
        <v>458</v>
      </c>
      <c r="C54" s="495">
        <f>C5*C10</f>
        <v>0</v>
      </c>
      <c r="D54" s="449"/>
      <c r="E54" s="496">
        <f t="shared" si="1"/>
        <v>0</v>
      </c>
      <c r="F54" s="746"/>
      <c r="G54" s="535"/>
      <c r="H54" s="535"/>
      <c r="I54" s="535"/>
      <c r="J54" s="535"/>
      <c r="K54" s="535"/>
      <c r="L54" s="501"/>
      <c r="M54" s="501"/>
    </row>
    <row r="55" spans="1:13" ht="12" customHeight="1">
      <c r="A55" s="501"/>
      <c r="B55" s="621" t="s">
        <v>203</v>
      </c>
      <c r="C55" s="602">
        <f>C16</f>
        <v>0</v>
      </c>
      <c r="D55" s="618"/>
      <c r="E55" s="496">
        <f t="shared" si="1"/>
        <v>0</v>
      </c>
      <c r="F55" s="746"/>
      <c r="G55" s="535"/>
      <c r="H55" s="535"/>
      <c r="I55" s="535"/>
      <c r="J55" s="535"/>
      <c r="K55" s="535"/>
      <c r="L55" s="501"/>
      <c r="M55" s="501"/>
    </row>
    <row r="56" spans="1:13" ht="12" customHeight="1">
      <c r="A56" s="501"/>
      <c r="B56" s="621" t="s">
        <v>206</v>
      </c>
      <c r="C56" s="602">
        <f>C15</f>
        <v>0</v>
      </c>
      <c r="D56" s="618"/>
      <c r="E56" s="496">
        <f t="shared" si="1"/>
        <v>0</v>
      </c>
      <c r="F56" s="746"/>
      <c r="G56" s="535"/>
      <c r="H56" s="535"/>
      <c r="I56" s="535"/>
      <c r="J56" s="535"/>
      <c r="K56" s="535"/>
      <c r="L56" s="501"/>
      <c r="M56" s="501"/>
    </row>
    <row r="57" spans="1:13" ht="12" customHeight="1">
      <c r="A57" s="501"/>
      <c r="B57" s="621" t="s">
        <v>769</v>
      </c>
      <c r="C57" s="602">
        <f>C17</f>
        <v>0</v>
      </c>
      <c r="D57" s="618"/>
      <c r="E57" s="496">
        <f t="shared" si="1"/>
        <v>0</v>
      </c>
      <c r="F57" s="746"/>
      <c r="G57" s="535"/>
      <c r="H57" s="535"/>
      <c r="I57" s="535"/>
      <c r="J57" s="535"/>
      <c r="K57" s="535"/>
      <c r="L57" s="501"/>
      <c r="M57" s="501"/>
    </row>
    <row r="58" spans="1:13" ht="12" customHeight="1" thickBot="1">
      <c r="A58" s="501"/>
      <c r="B58" s="550" t="s">
        <v>459</v>
      </c>
      <c r="C58" s="498">
        <f>C5*C10</f>
        <v>0</v>
      </c>
      <c r="D58" s="569"/>
      <c r="E58" s="500">
        <f t="shared" si="1"/>
        <v>0</v>
      </c>
      <c r="F58" s="746"/>
      <c r="G58" s="535"/>
      <c r="H58" s="535"/>
      <c r="I58" s="535"/>
      <c r="J58" s="535"/>
      <c r="K58" s="535"/>
      <c r="L58" s="501"/>
      <c r="M58" s="501"/>
    </row>
    <row r="59" spans="1:13" ht="12" customHeight="1" thickBot="1">
      <c r="A59" s="501"/>
      <c r="B59" s="535"/>
      <c r="C59" s="535"/>
      <c r="D59" s="551" t="s">
        <v>9</v>
      </c>
      <c r="E59" s="623">
        <f>SUMIF(E20:E58,"&gt;0",E20:E58)</f>
        <v>0</v>
      </c>
      <c r="F59" s="746"/>
      <c r="G59" s="535"/>
      <c r="H59" s="535"/>
      <c r="I59" s="535"/>
      <c r="J59" s="535"/>
      <c r="K59" s="535"/>
      <c r="L59" s="501"/>
      <c r="M59" s="501"/>
    </row>
    <row r="60" spans="1:13" ht="11.25" customHeight="1">
      <c r="A60" s="501"/>
      <c r="B60" s="535"/>
      <c r="C60" s="535"/>
      <c r="D60" s="535"/>
      <c r="E60" s="535"/>
      <c r="F60" s="747"/>
      <c r="G60" s="535"/>
      <c r="H60" s="535"/>
      <c r="I60" s="535"/>
      <c r="J60" s="535"/>
      <c r="K60" s="535"/>
      <c r="L60" s="501"/>
      <c r="M60" s="501"/>
    </row>
    <row r="61" spans="1:13">
      <c r="A61" s="501"/>
      <c r="B61" s="535"/>
      <c r="C61" s="535"/>
      <c r="D61" s="535"/>
      <c r="E61" s="535"/>
      <c r="F61" s="747"/>
      <c r="G61" s="535"/>
      <c r="H61" s="535"/>
      <c r="I61" s="535"/>
      <c r="J61" s="535"/>
      <c r="K61" s="535"/>
      <c r="L61" s="501"/>
      <c r="M61" s="501"/>
    </row>
    <row r="62" spans="1:13">
      <c r="A62" s="501"/>
      <c r="B62" s="535"/>
      <c r="C62" s="535"/>
      <c r="D62" s="535"/>
      <c r="E62" s="535"/>
      <c r="F62" s="535"/>
      <c r="G62" s="535"/>
      <c r="H62" s="535"/>
      <c r="I62" s="535"/>
      <c r="J62" s="535"/>
      <c r="K62" s="535"/>
      <c r="L62" s="501"/>
      <c r="M62" s="501"/>
    </row>
    <row r="63" spans="1:13">
      <c r="A63" s="501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</row>
  </sheetData>
  <sheetProtection algorithmName="SHA-512" hashValue="XfScz2IyYBpl9bJlEiEZBj3S/jl/vYSQiorU5xyXbzMyNbF7qdc6uyTlDGIXb00OFGQMtFge3/xpqR9ZpuKwUQ==" saltValue="8vQmBcYAKl1XqfLCprGlaA==" spinCount="100000" sheet="1"/>
  <mergeCells count="10">
    <mergeCell ref="D16:F16"/>
    <mergeCell ref="D17:F17"/>
    <mergeCell ref="F13:F14"/>
    <mergeCell ref="B1:E1"/>
    <mergeCell ref="D2:F3"/>
    <mergeCell ref="D12:F12"/>
    <mergeCell ref="D4:F4"/>
    <mergeCell ref="F5:F8"/>
    <mergeCell ref="D10:F10"/>
    <mergeCell ref="D15:F15"/>
  </mergeCells>
  <conditionalFormatting sqref="C2:C3">
    <cfRule type="cellIs" dxfId="217" priority="33" operator="greaterThan">
      <formula>0</formula>
    </cfRule>
  </conditionalFormatting>
  <conditionalFormatting sqref="C9">
    <cfRule type="cellIs" dxfId="216" priority="29" operator="greaterThan">
      <formula>0</formula>
    </cfRule>
  </conditionalFormatting>
  <conditionalFormatting sqref="C9">
    <cfRule type="cellIs" dxfId="215" priority="32" operator="greaterThan">
      <formula>0</formula>
    </cfRule>
  </conditionalFormatting>
  <conditionalFormatting sqref="C9">
    <cfRule type="cellIs" dxfId="214" priority="31" operator="greaterThan">
      <formula>0</formula>
    </cfRule>
  </conditionalFormatting>
  <conditionalFormatting sqref="C9">
    <cfRule type="cellIs" dxfId="213" priority="30" operator="greaterThan">
      <formula>0</formula>
    </cfRule>
  </conditionalFormatting>
  <conditionalFormatting sqref="C37:E37">
    <cfRule type="cellIs" dxfId="212" priority="22" operator="greaterThan">
      <formula>0</formula>
    </cfRule>
    <cfRule type="cellIs" dxfId="211" priority="23" operator="greaterThan">
      <formula>0</formula>
    </cfRule>
    <cfRule type="cellIs" dxfId="210" priority="24" operator="greaterThan">
      <formula>0</formula>
    </cfRule>
  </conditionalFormatting>
  <conditionalFormatting sqref="C31:E31">
    <cfRule type="cellIs" dxfId="209" priority="20" operator="greaterThan">
      <formula>0</formula>
    </cfRule>
  </conditionalFormatting>
  <conditionalFormatting sqref="C43:E43">
    <cfRule type="cellIs" dxfId="208" priority="19" operator="greaterThan">
      <formula>0</formula>
    </cfRule>
  </conditionalFormatting>
  <conditionalFormatting sqref="C31:E31">
    <cfRule type="cellIs" dxfId="207" priority="21" operator="greaterThan">
      <formula>0</formula>
    </cfRule>
  </conditionalFormatting>
  <conditionalFormatting sqref="C47:E50">
    <cfRule type="cellIs" dxfId="206" priority="12" operator="greaterThan">
      <formula>0</formula>
    </cfRule>
  </conditionalFormatting>
  <conditionalFormatting sqref="C48:E49">
    <cfRule type="cellIs" dxfId="205" priority="17" operator="greaterThan">
      <formula>0</formula>
    </cfRule>
  </conditionalFormatting>
  <conditionalFormatting sqref="C47:E47">
    <cfRule type="cellIs" dxfId="204" priority="18" operator="greaterThan">
      <formula>0</formula>
    </cfRule>
  </conditionalFormatting>
  <conditionalFormatting sqref="C50:E50">
    <cfRule type="cellIs" dxfId="203" priority="16" operator="greaterThan">
      <formula>0</formula>
    </cfRule>
  </conditionalFormatting>
  <conditionalFormatting sqref="C47:E50">
    <cfRule type="cellIs" dxfId="202" priority="13" operator="greaterThan">
      <formula>0</formula>
    </cfRule>
    <cfRule type="cellIs" dxfId="201" priority="14" operator="greaterThan">
      <formula>0</formula>
    </cfRule>
    <cfRule type="cellIs" dxfId="200" priority="15" operator="greaterThan">
      <formula>0</formula>
    </cfRule>
  </conditionalFormatting>
  <conditionalFormatting sqref="J3:K18">
    <cfRule type="cellIs" dxfId="199" priority="4" operator="greaterThan">
      <formula>0</formula>
    </cfRule>
    <cfRule type="cellIs" dxfId="198" priority="7" operator="greaterThan">
      <formula>0</formula>
    </cfRule>
    <cfRule type="cellIs" dxfId="197" priority="8" operator="greaterThan">
      <formula>0</formula>
    </cfRule>
  </conditionalFormatting>
  <conditionalFormatting sqref="I3:I18">
    <cfRule type="cellIs" dxfId="196" priority="9" operator="equal">
      <formula>"НЕТ"</formula>
    </cfRule>
    <cfRule type="cellIs" dxfId="195" priority="10" operator="equal">
      <formula>"ДА"</formula>
    </cfRule>
  </conditionalFormatting>
  <conditionalFormatting sqref="I3:I18">
    <cfRule type="colorScale" priority="11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58:E58 C20:E54">
    <cfRule type="cellIs" dxfId="194" priority="6" operator="greaterThan">
      <formula>0</formula>
    </cfRule>
  </conditionalFormatting>
  <conditionalFormatting sqref="C2:C14">
    <cfRule type="cellIs" dxfId="193" priority="5" operator="greaterThan">
      <formula>0</formula>
    </cfRule>
  </conditionalFormatting>
  <conditionalFormatting sqref="E59">
    <cfRule type="cellIs" dxfId="192" priority="3" operator="greaterThan">
      <formula>0</formula>
    </cfRule>
  </conditionalFormatting>
  <conditionalFormatting sqref="C15:C17">
    <cfRule type="cellIs" dxfId="191" priority="2" operator="greaterThan">
      <formula>0</formula>
    </cfRule>
  </conditionalFormatting>
  <conditionalFormatting sqref="C55:E57">
    <cfRule type="cellIs" dxfId="190" priority="1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E20:E23" unlocked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M64"/>
  <sheetViews>
    <sheetView workbookViewId="0">
      <pane ySplit="18" topLeftCell="A19" activePane="bottomLeft" state="frozen"/>
      <selection pane="bottomLeft" activeCell="H27" sqref="H27"/>
    </sheetView>
  </sheetViews>
  <sheetFormatPr defaultRowHeight="11.25"/>
  <cols>
    <col min="2" max="2" width="53.5" customWidth="1"/>
    <col min="4" max="4" width="12.83203125" customWidth="1"/>
    <col min="5" max="5" width="13.5" customWidth="1"/>
    <col min="6" max="6" width="18.6640625" customWidth="1"/>
    <col min="7" max="7" width="3.83203125" customWidth="1"/>
    <col min="8" max="8" width="47" customWidth="1"/>
    <col min="9" max="9" width="4.5" customWidth="1"/>
  </cols>
  <sheetData>
    <row r="1" spans="1:13" ht="66" customHeight="1" thickBot="1">
      <c r="A1" s="501"/>
      <c r="B1" s="1102"/>
      <c r="C1" s="1103"/>
      <c r="D1" s="1103"/>
      <c r="E1" s="1103"/>
      <c r="F1" s="501"/>
      <c r="G1" s="501"/>
      <c r="H1" s="501"/>
      <c r="I1" s="501"/>
      <c r="J1" s="501"/>
      <c r="K1" s="501"/>
      <c r="L1" s="501"/>
      <c r="M1" s="501"/>
    </row>
    <row r="2" spans="1:13" ht="12" customHeight="1" thickBot="1">
      <c r="A2" s="501"/>
      <c r="B2" s="503" t="s">
        <v>746</v>
      </c>
      <c r="C2" s="702">
        <v>0</v>
      </c>
      <c r="D2" s="1047" t="s">
        <v>675</v>
      </c>
      <c r="E2" s="1048"/>
      <c r="F2" s="1049"/>
      <c r="G2" s="535"/>
      <c r="H2" s="505" t="s">
        <v>565</v>
      </c>
      <c r="I2" s="506" t="s">
        <v>684</v>
      </c>
      <c r="J2" s="572" t="s">
        <v>4</v>
      </c>
      <c r="K2" s="573" t="s">
        <v>8</v>
      </c>
      <c r="L2" s="501"/>
      <c r="M2" s="501"/>
    </row>
    <row r="3" spans="1:13" ht="12" customHeight="1" thickBot="1">
      <c r="A3" s="501"/>
      <c r="B3" s="508" t="s">
        <v>747</v>
      </c>
      <c r="C3" s="686">
        <v>0</v>
      </c>
      <c r="D3" s="1050"/>
      <c r="E3" s="1051"/>
      <c r="F3" s="1052"/>
      <c r="G3" s="535"/>
      <c r="H3" s="509" t="s">
        <v>450</v>
      </c>
      <c r="I3" s="510" t="str">
        <f>IF(AND($C$7=1,$C$5+$C$6+$C$8=0,$C$9=2),"ДА","НЕТ")</f>
        <v>НЕТ</v>
      </c>
      <c r="J3" s="413"/>
      <c r="K3" s="414">
        <f>IF(I3="ДА",$C$10*J3,0)</f>
        <v>0</v>
      </c>
      <c r="L3" s="501"/>
      <c r="M3" s="501"/>
    </row>
    <row r="4" spans="1:13" ht="12" customHeight="1" thickBot="1">
      <c r="A4" s="501"/>
      <c r="B4" s="525" t="s">
        <v>163</v>
      </c>
      <c r="C4" s="690">
        <v>0</v>
      </c>
      <c r="D4" s="1099" t="s">
        <v>164</v>
      </c>
      <c r="E4" s="1100"/>
      <c r="F4" s="1101"/>
      <c r="G4" s="535"/>
      <c r="H4" s="512" t="s">
        <v>451</v>
      </c>
      <c r="I4" s="510" t="str">
        <f>IF(AND($C$7=1,$C$5+$C$6+$C$8=0,$C$9=2),"ДА","НЕТ")</f>
        <v>НЕТ</v>
      </c>
      <c r="J4" s="491"/>
      <c r="K4" s="414">
        <f t="shared" ref="K4:K17" si="0">IF(I4="ДА",$C$10*J4,0)</f>
        <v>0</v>
      </c>
      <c r="L4" s="501"/>
      <c r="M4" s="501"/>
    </row>
    <row r="5" spans="1:13" ht="12" customHeight="1">
      <c r="A5" s="501"/>
      <c r="B5" s="515" t="s">
        <v>572</v>
      </c>
      <c r="C5" s="699">
        <v>0</v>
      </c>
      <c r="D5" s="518" t="s">
        <v>365</v>
      </c>
      <c r="E5" s="786" t="s">
        <v>327</v>
      </c>
      <c r="F5" s="1056" t="s">
        <v>677</v>
      </c>
      <c r="G5" s="535"/>
      <c r="H5" s="512" t="s">
        <v>452</v>
      </c>
      <c r="I5" s="510" t="str">
        <f>IF(AND($C$7=1,$C$5+$C$6+$C$8=0,$C$9=2),"ДА","НЕТ")</f>
        <v>НЕТ</v>
      </c>
      <c r="J5" s="491"/>
      <c r="K5" s="414">
        <f t="shared" si="0"/>
        <v>0</v>
      </c>
      <c r="L5" s="501"/>
      <c r="M5" s="501"/>
    </row>
    <row r="6" spans="1:13" ht="12" customHeight="1">
      <c r="A6" s="501"/>
      <c r="B6" s="513" t="s">
        <v>573</v>
      </c>
      <c r="C6" s="698">
        <v>0</v>
      </c>
      <c r="D6" s="520" t="s">
        <v>365</v>
      </c>
      <c r="E6" s="740" t="s">
        <v>327</v>
      </c>
      <c r="F6" s="1056"/>
      <c r="G6" s="535"/>
      <c r="H6" s="514" t="s">
        <v>454</v>
      </c>
      <c r="I6" s="510" t="str">
        <f>IF(AND($C$7=1,$C$5+$C$6+$C$8=0,$C$9=3),"ДА","НЕТ")</f>
        <v>НЕТ</v>
      </c>
      <c r="J6" s="417"/>
      <c r="K6" s="414">
        <f t="shared" si="0"/>
        <v>0</v>
      </c>
      <c r="L6" s="501"/>
      <c r="M6" s="501"/>
    </row>
    <row r="7" spans="1:13" ht="12" customHeight="1">
      <c r="A7" s="501"/>
      <c r="B7" s="513" t="s">
        <v>570</v>
      </c>
      <c r="C7" s="698">
        <v>0</v>
      </c>
      <c r="D7" s="520" t="s">
        <v>365</v>
      </c>
      <c r="E7" s="740" t="s">
        <v>327</v>
      </c>
      <c r="F7" s="1056"/>
      <c r="G7" s="535"/>
      <c r="H7" s="512" t="s">
        <v>569</v>
      </c>
      <c r="I7" s="510" t="str">
        <f>IF(AND($C$8=1,$C$5+$C$6+$C$7=0,$C$9=1),"ДА","НЕТ")</f>
        <v>НЕТ</v>
      </c>
      <c r="J7" s="491"/>
      <c r="K7" s="414">
        <f t="shared" si="0"/>
        <v>0</v>
      </c>
      <c r="L7" s="501"/>
      <c r="M7" s="501"/>
    </row>
    <row r="8" spans="1:13" ht="12" customHeight="1" thickBot="1">
      <c r="A8" s="501"/>
      <c r="B8" s="536" t="s">
        <v>571</v>
      </c>
      <c r="C8" s="697">
        <v>0</v>
      </c>
      <c r="D8" s="523" t="s">
        <v>365</v>
      </c>
      <c r="E8" s="527" t="s">
        <v>327</v>
      </c>
      <c r="F8" s="1057"/>
      <c r="G8" s="535"/>
      <c r="H8" s="514" t="s">
        <v>566</v>
      </c>
      <c r="I8" s="510" t="str">
        <f>IF(AND($C$8=1,$C$5+$C$6+$C$7=0,$C$9=3),"ДА","НЕТ")</f>
        <v>НЕТ</v>
      </c>
      <c r="J8" s="417"/>
      <c r="K8" s="414">
        <f t="shared" si="0"/>
        <v>0</v>
      </c>
      <c r="L8" s="501"/>
      <c r="M8" s="501"/>
    </row>
    <row r="9" spans="1:13" ht="12" customHeight="1" thickBot="1">
      <c r="A9" s="501"/>
      <c r="B9" s="525" t="s">
        <v>669</v>
      </c>
      <c r="C9" s="689">
        <v>0</v>
      </c>
      <c r="D9" s="529" t="s">
        <v>699</v>
      </c>
      <c r="E9" s="530" t="s">
        <v>700</v>
      </c>
      <c r="F9" s="532" t="s">
        <v>701</v>
      </c>
      <c r="G9" s="535"/>
      <c r="H9" s="514" t="s">
        <v>567</v>
      </c>
      <c r="I9" s="510" t="str">
        <f>IF(AND($C$8=1,$C$5+$C$6+$C$7=0,$C$9=2),"ДА","НЕТ")</f>
        <v>НЕТ</v>
      </c>
      <c r="J9" s="417"/>
      <c r="K9" s="414">
        <f t="shared" si="0"/>
        <v>0</v>
      </c>
      <c r="L9" s="501"/>
      <c r="M9" s="501"/>
    </row>
    <row r="10" spans="1:13" ht="12" customHeight="1" thickBot="1">
      <c r="A10" s="501"/>
      <c r="B10" s="610" t="s">
        <v>152</v>
      </c>
      <c r="C10" s="664">
        <v>0</v>
      </c>
      <c r="D10" s="1099" t="s">
        <v>755</v>
      </c>
      <c r="E10" s="1100"/>
      <c r="F10" s="1101"/>
      <c r="G10" s="535"/>
      <c r="H10" s="514" t="s">
        <v>568</v>
      </c>
      <c r="I10" s="510" t="str">
        <f>IF(AND($C$8=1,$C$5+$C$6+$C$7=0,$C$9=2),"ДА","НЕТ")</f>
        <v>НЕТ</v>
      </c>
      <c r="J10" s="417"/>
      <c r="K10" s="414">
        <f t="shared" si="0"/>
        <v>0</v>
      </c>
      <c r="L10" s="501"/>
      <c r="M10" s="501"/>
    </row>
    <row r="11" spans="1:13" ht="12" customHeight="1" thickBot="1">
      <c r="A11" s="501"/>
      <c r="B11" s="525" t="s">
        <v>483</v>
      </c>
      <c r="C11" s="561">
        <v>0</v>
      </c>
      <c r="D11" s="529" t="s">
        <v>365</v>
      </c>
      <c r="E11" s="532" t="s">
        <v>327</v>
      </c>
      <c r="F11" s="725"/>
      <c r="G11" s="535"/>
      <c r="H11" s="514" t="s">
        <v>574</v>
      </c>
      <c r="I11" s="510" t="str">
        <f>IF(AND($C$8=1,$C$5+$C$6+$C$7=0,$C$9=2),"ДА","НЕТ")</f>
        <v>НЕТ</v>
      </c>
      <c r="J11" s="417"/>
      <c r="K11" s="414">
        <f t="shared" si="0"/>
        <v>0</v>
      </c>
      <c r="L11" s="501"/>
      <c r="M11" s="501"/>
    </row>
    <row r="12" spans="1:13" ht="12" customHeight="1">
      <c r="A12" s="501"/>
      <c r="B12" s="515" t="s">
        <v>476</v>
      </c>
      <c r="C12" s="558">
        <v>0</v>
      </c>
      <c r="D12" s="516" t="s">
        <v>365</v>
      </c>
      <c r="E12" s="721" t="s">
        <v>327</v>
      </c>
      <c r="F12" s="1068" t="s">
        <v>677</v>
      </c>
      <c r="G12" s="535"/>
      <c r="H12" s="509" t="s">
        <v>460</v>
      </c>
      <c r="I12" s="510" t="str">
        <f>IF(AND($C$5=1,$C$8+$C$7+$C$6=0,$C$9=1),"ДА","НЕТ")</f>
        <v>НЕТ</v>
      </c>
      <c r="J12" s="420"/>
      <c r="K12" s="414">
        <f t="shared" si="0"/>
        <v>0</v>
      </c>
      <c r="L12" s="501"/>
      <c r="M12" s="501"/>
    </row>
    <row r="13" spans="1:13" ht="12" customHeight="1" thickBot="1">
      <c r="A13" s="501"/>
      <c r="B13" s="508" t="s">
        <v>477</v>
      </c>
      <c r="C13" s="559">
        <v>0</v>
      </c>
      <c r="D13" s="523" t="s">
        <v>365</v>
      </c>
      <c r="E13" s="527" t="s">
        <v>327</v>
      </c>
      <c r="F13" s="1069"/>
      <c r="G13" s="535"/>
      <c r="H13" s="509" t="s">
        <v>461</v>
      </c>
      <c r="I13" s="510" t="str">
        <f>IF(AND($C$5=1,$C$8+$C$7+$C$6=0,$C$9=3),"ДА","НЕТ")</f>
        <v>НЕТ</v>
      </c>
      <c r="J13" s="420"/>
      <c r="K13" s="414">
        <f t="shared" si="0"/>
        <v>0</v>
      </c>
      <c r="L13" s="501"/>
      <c r="M13" s="501"/>
    </row>
    <row r="14" spans="1:13" ht="12" customHeight="1">
      <c r="A14" s="501"/>
      <c r="B14" s="503" t="s">
        <v>205</v>
      </c>
      <c r="C14" s="560">
        <v>0</v>
      </c>
      <c r="D14" s="1058" t="s">
        <v>766</v>
      </c>
      <c r="E14" s="1059"/>
      <c r="F14" s="1060"/>
      <c r="G14" s="535"/>
      <c r="H14" s="509" t="s">
        <v>462</v>
      </c>
      <c r="I14" s="510" t="str">
        <f>IF(AND($C$6=1,$C$7+$C$8+$C$5=0,$C$9=1),"ДА","НЕТ")</f>
        <v>НЕТ</v>
      </c>
      <c r="J14" s="420"/>
      <c r="K14" s="414">
        <f t="shared" si="0"/>
        <v>0</v>
      </c>
      <c r="L14" s="501"/>
      <c r="M14" s="501"/>
    </row>
    <row r="15" spans="1:13" ht="12" customHeight="1">
      <c r="A15" s="501"/>
      <c r="B15" s="513" t="s">
        <v>204</v>
      </c>
      <c r="C15" s="557">
        <v>0</v>
      </c>
      <c r="D15" s="1061" t="s">
        <v>767</v>
      </c>
      <c r="E15" s="1062"/>
      <c r="F15" s="1063"/>
      <c r="G15" s="535"/>
      <c r="H15" s="512" t="s">
        <v>463</v>
      </c>
      <c r="I15" s="510" t="str">
        <f>IF(AND($C$6=1,$C$7+$C$8+$C$5=0,$C$9=1),"ДА","НЕТ")</f>
        <v>НЕТ</v>
      </c>
      <c r="J15" s="420"/>
      <c r="K15" s="414">
        <f t="shared" si="0"/>
        <v>0</v>
      </c>
      <c r="L15" s="501"/>
      <c r="M15" s="501"/>
    </row>
    <row r="16" spans="1:13" ht="12" customHeight="1" thickBot="1">
      <c r="A16" s="501"/>
      <c r="B16" s="508" t="s">
        <v>197</v>
      </c>
      <c r="C16" s="559">
        <v>0</v>
      </c>
      <c r="D16" s="1064" t="s">
        <v>768</v>
      </c>
      <c r="E16" s="1065"/>
      <c r="F16" s="1066"/>
      <c r="G16" s="535"/>
      <c r="H16" s="509" t="s">
        <v>467</v>
      </c>
      <c r="I16" s="510" t="str">
        <f>IF(AND($C$6=1,$C$7+$C$8+$C$5=0,$C$9=2),"ДА","НЕТ")</f>
        <v>НЕТ</v>
      </c>
      <c r="J16" s="420"/>
      <c r="K16" s="414">
        <f t="shared" si="0"/>
        <v>0</v>
      </c>
      <c r="L16" s="501"/>
      <c r="M16" s="501"/>
    </row>
    <row r="17" spans="1:13" ht="12" customHeight="1" thickBot="1">
      <c r="A17" s="501"/>
      <c r="B17" s="700"/>
      <c r="C17" s="700"/>
      <c r="D17" s="700"/>
      <c r="E17" s="535"/>
      <c r="F17" s="535"/>
      <c r="G17" s="535"/>
      <c r="H17" s="533" t="s">
        <v>468</v>
      </c>
      <c r="I17" s="534" t="str">
        <f>IF(AND($C$6=1,$C$7+$C$8+$C$5=0,$C$9=2),"ДА","НЕТ")</f>
        <v>НЕТ</v>
      </c>
      <c r="J17" s="427"/>
      <c r="K17" s="571">
        <f t="shared" si="0"/>
        <v>0</v>
      </c>
      <c r="L17" s="501"/>
      <c r="M17" s="501"/>
    </row>
    <row r="18" spans="1:13" ht="12" customHeight="1">
      <c r="A18" s="501"/>
      <c r="B18" s="540" t="s">
        <v>5</v>
      </c>
      <c r="C18" s="541" t="s">
        <v>0</v>
      </c>
      <c r="D18" s="542" t="s">
        <v>4</v>
      </c>
      <c r="E18" s="543" t="s">
        <v>8</v>
      </c>
      <c r="F18" s="535"/>
      <c r="G18" s="535"/>
      <c r="H18" s="535"/>
      <c r="I18" s="535"/>
      <c r="J18" s="535"/>
      <c r="K18" s="535"/>
      <c r="L18" s="501"/>
      <c r="M18" s="501"/>
    </row>
    <row r="19" spans="1:13" ht="12" customHeight="1">
      <c r="A19" s="501"/>
      <c r="B19" s="547" t="s">
        <v>480</v>
      </c>
      <c r="C19" s="442">
        <f>C2*C10</f>
        <v>0</v>
      </c>
      <c r="D19" s="449"/>
      <c r="E19" s="439">
        <f>C19*D19</f>
        <v>0</v>
      </c>
      <c r="F19" s="535"/>
      <c r="G19" s="535"/>
      <c r="H19" s="535"/>
      <c r="I19" s="535"/>
      <c r="J19" s="535"/>
      <c r="K19" s="535"/>
      <c r="L19" s="501"/>
      <c r="M19" s="501"/>
    </row>
    <row r="20" spans="1:13" ht="12" customHeight="1">
      <c r="A20" s="501"/>
      <c r="B20" s="547" t="s">
        <v>481</v>
      </c>
      <c r="C20" s="442">
        <f>IF(C13=1,C2*C10,0)</f>
        <v>0</v>
      </c>
      <c r="D20" s="449"/>
      <c r="E20" s="439">
        <f>C20*D20</f>
        <v>0</v>
      </c>
      <c r="F20" s="535"/>
      <c r="G20" s="535"/>
      <c r="H20" s="535"/>
      <c r="I20" s="535"/>
      <c r="J20" s="535"/>
      <c r="K20" s="535"/>
      <c r="L20" s="501"/>
      <c r="M20" s="501"/>
    </row>
    <row r="21" spans="1:13" ht="12" customHeight="1">
      <c r="A21" s="501"/>
      <c r="B21" s="545" t="s">
        <v>478</v>
      </c>
      <c r="C21" s="437">
        <f>IF(AND(C12=1,C13=0),(C4*C10)*2,0)</f>
        <v>0</v>
      </c>
      <c r="D21" s="449"/>
      <c r="E21" s="439">
        <f>C21*D21</f>
        <v>0</v>
      </c>
      <c r="F21" s="535"/>
      <c r="G21" s="535"/>
      <c r="H21" s="535"/>
      <c r="I21" s="535"/>
      <c r="J21" s="535"/>
      <c r="K21" s="535"/>
      <c r="L21" s="501"/>
      <c r="M21" s="501"/>
    </row>
    <row r="22" spans="1:13" ht="12" customHeight="1">
      <c r="A22" s="501"/>
      <c r="B22" s="545" t="s">
        <v>479</v>
      </c>
      <c r="C22" s="437">
        <f>IF(AND(C12=0,C13=1),C4*C10,0)</f>
        <v>0</v>
      </c>
      <c r="D22" s="449"/>
      <c r="E22" s="439">
        <f>C22*D22</f>
        <v>0</v>
      </c>
      <c r="F22" s="535"/>
      <c r="G22" s="535"/>
      <c r="H22" s="535"/>
      <c r="I22" s="535"/>
      <c r="J22" s="535"/>
      <c r="K22" s="535"/>
      <c r="L22" s="501"/>
      <c r="M22" s="501"/>
    </row>
    <row r="23" spans="1:13" ht="12" customHeight="1">
      <c r="A23" s="501"/>
      <c r="B23" s="547" t="s">
        <v>526</v>
      </c>
      <c r="C23" s="442">
        <f>C10*2</f>
        <v>0</v>
      </c>
      <c r="D23" s="449"/>
      <c r="E23" s="439">
        <f t="shared" ref="E23:E55" si="1">C23*D23</f>
        <v>0</v>
      </c>
      <c r="F23" s="535"/>
      <c r="G23" s="535"/>
      <c r="H23" s="535"/>
      <c r="I23" s="535"/>
      <c r="J23" s="535"/>
      <c r="K23" s="535"/>
      <c r="L23" s="501"/>
      <c r="M23" s="501"/>
    </row>
    <row r="24" spans="1:13" ht="12" customHeight="1">
      <c r="A24" s="501"/>
      <c r="B24" s="547" t="s">
        <v>583</v>
      </c>
      <c r="C24" s="442">
        <f>(C4-1)*C10</f>
        <v>0</v>
      </c>
      <c r="D24" s="449"/>
      <c r="E24" s="439">
        <f t="shared" si="1"/>
        <v>0</v>
      </c>
      <c r="F24" s="535"/>
      <c r="G24" s="535"/>
      <c r="H24" s="535"/>
      <c r="I24" s="535"/>
      <c r="J24" s="535"/>
      <c r="K24" s="535"/>
      <c r="L24" s="501"/>
      <c r="M24" s="501"/>
    </row>
    <row r="25" spans="1:13" ht="12" customHeight="1">
      <c r="A25" s="501"/>
      <c r="B25" s="545" t="s">
        <v>553</v>
      </c>
      <c r="C25" s="437">
        <f>C2*C10*(C5+C7)</f>
        <v>0</v>
      </c>
      <c r="D25" s="438"/>
      <c r="E25" s="439">
        <f t="shared" si="1"/>
        <v>0</v>
      </c>
      <c r="F25" s="535"/>
      <c r="G25" s="535"/>
      <c r="H25" s="535"/>
      <c r="I25" s="535"/>
      <c r="J25" s="535"/>
      <c r="K25" s="535"/>
      <c r="L25" s="501"/>
      <c r="M25" s="501"/>
    </row>
    <row r="26" spans="1:13" ht="12" customHeight="1">
      <c r="A26" s="501"/>
      <c r="B26" s="547" t="s">
        <v>560</v>
      </c>
      <c r="C26" s="442">
        <f>C10*C2*(C6+C8)</f>
        <v>0</v>
      </c>
      <c r="D26" s="449"/>
      <c r="E26" s="439">
        <f t="shared" si="1"/>
        <v>0</v>
      </c>
      <c r="F26" s="535"/>
      <c r="G26" s="535"/>
      <c r="H26" s="535"/>
      <c r="I26" s="535"/>
      <c r="J26" s="535"/>
      <c r="K26" s="535"/>
      <c r="L26" s="501"/>
      <c r="M26" s="501"/>
    </row>
    <row r="27" spans="1:13" ht="12" customHeight="1">
      <c r="A27" s="501"/>
      <c r="B27" s="547" t="s">
        <v>124</v>
      </c>
      <c r="C27" s="442">
        <f>C2*C10</f>
        <v>0</v>
      </c>
      <c r="D27" s="443"/>
      <c r="E27" s="439">
        <f t="shared" si="1"/>
        <v>0</v>
      </c>
      <c r="F27" s="535"/>
      <c r="G27" s="535"/>
      <c r="H27" s="535"/>
      <c r="I27" s="535"/>
      <c r="J27" s="535"/>
      <c r="K27" s="535"/>
      <c r="L27" s="501"/>
      <c r="M27" s="501"/>
    </row>
    <row r="28" spans="1:13" ht="12" customHeight="1">
      <c r="A28" s="501"/>
      <c r="B28" s="545" t="s">
        <v>530</v>
      </c>
      <c r="C28" s="437">
        <f>C2*C10*(C5+C7)</f>
        <v>0</v>
      </c>
      <c r="D28" s="438"/>
      <c r="E28" s="439">
        <f t="shared" si="1"/>
        <v>0</v>
      </c>
      <c r="F28" s="535"/>
      <c r="G28" s="535"/>
      <c r="H28" s="535"/>
      <c r="I28" s="535"/>
      <c r="J28" s="535"/>
      <c r="K28" s="535"/>
      <c r="L28" s="501"/>
      <c r="M28" s="501"/>
    </row>
    <row r="29" spans="1:13" ht="12" customHeight="1">
      <c r="A29" s="501"/>
      <c r="B29" s="545" t="s">
        <v>529</v>
      </c>
      <c r="C29" s="437">
        <f>C10*C2*(C6+C8)</f>
        <v>0</v>
      </c>
      <c r="D29" s="492"/>
      <c r="E29" s="439">
        <f t="shared" si="1"/>
        <v>0</v>
      </c>
      <c r="F29" s="535"/>
      <c r="G29" s="535"/>
      <c r="H29" s="535"/>
      <c r="I29" s="535"/>
      <c r="J29" s="535"/>
      <c r="K29" s="535"/>
      <c r="L29" s="501"/>
      <c r="M29" s="501"/>
    </row>
    <row r="30" spans="1:13" ht="12" customHeight="1">
      <c r="A30" s="501"/>
      <c r="B30" s="547" t="s">
        <v>445</v>
      </c>
      <c r="C30" s="442">
        <f>C10*(C5+C7)</f>
        <v>0</v>
      </c>
      <c r="D30" s="443"/>
      <c r="E30" s="439">
        <f t="shared" si="1"/>
        <v>0</v>
      </c>
      <c r="F30" s="535"/>
      <c r="G30" s="535"/>
      <c r="H30" s="535"/>
      <c r="I30" s="535"/>
      <c r="J30" s="535"/>
      <c r="K30" s="535"/>
      <c r="L30" s="501"/>
      <c r="M30" s="501"/>
    </row>
    <row r="31" spans="1:13" ht="12" customHeight="1">
      <c r="A31" s="501"/>
      <c r="B31" s="547" t="s">
        <v>805</v>
      </c>
      <c r="C31" s="442">
        <f>C10*(C4*2-2)*(C6+C8)</f>
        <v>0</v>
      </c>
      <c r="D31" s="449"/>
      <c r="E31" s="439">
        <f t="shared" si="1"/>
        <v>0</v>
      </c>
      <c r="F31" s="535"/>
      <c r="G31" s="535"/>
      <c r="H31" s="535"/>
      <c r="I31" s="535"/>
      <c r="J31" s="535"/>
      <c r="K31" s="535"/>
      <c r="L31" s="501"/>
      <c r="M31" s="501"/>
    </row>
    <row r="32" spans="1:13" ht="12" customHeight="1">
      <c r="A32" s="501"/>
      <c r="B32" s="547" t="s">
        <v>549</v>
      </c>
      <c r="C32" s="442">
        <f>C10*(C6+C8)</f>
        <v>0</v>
      </c>
      <c r="D32" s="449"/>
      <c r="E32" s="665">
        <f>C32*D32</f>
        <v>0</v>
      </c>
      <c r="F32" s="535"/>
      <c r="G32" s="535"/>
      <c r="H32" s="535"/>
      <c r="I32" s="535"/>
      <c r="J32" s="535"/>
      <c r="K32" s="535"/>
      <c r="L32" s="501"/>
      <c r="M32" s="501"/>
    </row>
    <row r="33" spans="1:13" ht="12" customHeight="1">
      <c r="A33" s="501"/>
      <c r="B33" s="547" t="s">
        <v>584</v>
      </c>
      <c r="C33" s="442">
        <f>(C4-1)*C10</f>
        <v>0</v>
      </c>
      <c r="D33" s="443"/>
      <c r="E33" s="439">
        <f t="shared" si="1"/>
        <v>0</v>
      </c>
      <c r="F33" s="535"/>
      <c r="G33" s="535"/>
      <c r="H33" s="535"/>
      <c r="I33" s="535"/>
      <c r="J33" s="535"/>
      <c r="K33" s="535"/>
      <c r="L33" s="501"/>
      <c r="M33" s="501"/>
    </row>
    <row r="34" spans="1:13" ht="12" customHeight="1">
      <c r="A34" s="501"/>
      <c r="B34" s="547" t="s">
        <v>585</v>
      </c>
      <c r="C34" s="442">
        <f>(C4-1)*C10</f>
        <v>0</v>
      </c>
      <c r="D34" s="443"/>
      <c r="E34" s="439">
        <f t="shared" si="1"/>
        <v>0</v>
      </c>
      <c r="F34" s="535"/>
      <c r="G34" s="535"/>
      <c r="H34" s="535"/>
      <c r="I34" s="535"/>
      <c r="J34" s="535"/>
      <c r="K34" s="535"/>
      <c r="L34" s="501"/>
      <c r="M34" s="501"/>
    </row>
    <row r="35" spans="1:13" ht="12" customHeight="1">
      <c r="A35" s="501"/>
      <c r="B35" s="547" t="s">
        <v>558</v>
      </c>
      <c r="C35" s="442">
        <f>C10</f>
        <v>0</v>
      </c>
      <c r="D35" s="443"/>
      <c r="E35" s="439">
        <f t="shared" si="1"/>
        <v>0</v>
      </c>
      <c r="F35" s="535"/>
      <c r="G35" s="535"/>
      <c r="H35" s="535"/>
      <c r="I35" s="535"/>
      <c r="J35" s="535"/>
      <c r="K35" s="535"/>
      <c r="L35" s="501"/>
      <c r="M35" s="501"/>
    </row>
    <row r="36" spans="1:13" ht="12" customHeight="1">
      <c r="A36" s="501"/>
      <c r="B36" s="547" t="s">
        <v>714</v>
      </c>
      <c r="C36" s="442">
        <f>EVEN(ROUNDDOWN(IF(C11=1,(C2/0.5)*C10,0),0))</f>
        <v>0</v>
      </c>
      <c r="D36" s="443"/>
      <c r="E36" s="439">
        <f t="shared" si="1"/>
        <v>0</v>
      </c>
      <c r="F36" s="535"/>
      <c r="G36" s="535"/>
      <c r="H36" s="535"/>
      <c r="I36" s="535"/>
      <c r="J36" s="535"/>
      <c r="K36" s="535"/>
      <c r="L36" s="501"/>
      <c r="M36" s="501"/>
    </row>
    <row r="37" spans="1:13" ht="12" customHeight="1">
      <c r="A37" s="501"/>
      <c r="B37" s="547" t="s">
        <v>559</v>
      </c>
      <c r="C37" s="442">
        <f>EVEN(ROUNDDOWN(IF(C11=0,(C33/0.5)*C10,0),0))</f>
        <v>0</v>
      </c>
      <c r="D37" s="443"/>
      <c r="E37" s="439">
        <f t="shared" si="1"/>
        <v>0</v>
      </c>
      <c r="F37" s="535"/>
      <c r="G37" s="535"/>
      <c r="H37" s="535"/>
      <c r="I37" s="535"/>
      <c r="J37" s="535"/>
      <c r="K37" s="535"/>
      <c r="L37" s="501"/>
      <c r="M37" s="501"/>
    </row>
    <row r="38" spans="1:13" ht="12" customHeight="1">
      <c r="A38" s="501"/>
      <c r="B38" s="547" t="s">
        <v>710</v>
      </c>
      <c r="C38" s="442">
        <f>C2*C10</f>
        <v>0</v>
      </c>
      <c r="D38" s="443"/>
      <c r="E38" s="439">
        <f t="shared" si="1"/>
        <v>0</v>
      </c>
      <c r="F38" s="549"/>
      <c r="G38" s="535"/>
      <c r="H38" s="535"/>
      <c r="I38" s="535"/>
      <c r="J38" s="535"/>
      <c r="K38" s="535"/>
      <c r="L38" s="501"/>
      <c r="M38" s="501"/>
    </row>
    <row r="39" spans="1:13" ht="12" customHeight="1">
      <c r="A39" s="501"/>
      <c r="B39" s="547" t="s">
        <v>711</v>
      </c>
      <c r="C39" s="442">
        <f>C2*C10</f>
        <v>0</v>
      </c>
      <c r="D39" s="443"/>
      <c r="E39" s="439">
        <f t="shared" si="1"/>
        <v>0</v>
      </c>
      <c r="F39" s="738"/>
      <c r="G39" s="535"/>
      <c r="H39" s="535"/>
      <c r="I39" s="535"/>
      <c r="J39" s="535"/>
      <c r="K39" s="535"/>
      <c r="L39" s="501"/>
      <c r="M39" s="501"/>
    </row>
    <row r="40" spans="1:13" ht="12" customHeight="1">
      <c r="A40" s="501"/>
      <c r="B40" s="547" t="s">
        <v>712</v>
      </c>
      <c r="C40" s="442">
        <f>C10</f>
        <v>0</v>
      </c>
      <c r="D40" s="443"/>
      <c r="E40" s="439">
        <f t="shared" si="1"/>
        <v>0</v>
      </c>
      <c r="F40" s="743"/>
      <c r="G40" s="535"/>
      <c r="H40" s="535"/>
      <c r="I40" s="535"/>
      <c r="J40" s="535"/>
      <c r="K40" s="535"/>
      <c r="L40" s="501"/>
      <c r="M40" s="501"/>
    </row>
    <row r="41" spans="1:13" ht="12" customHeight="1">
      <c r="A41" s="501"/>
      <c r="B41" s="547" t="s">
        <v>713</v>
      </c>
      <c r="C41" s="442">
        <f>C10</f>
        <v>0</v>
      </c>
      <c r="D41" s="443"/>
      <c r="E41" s="439">
        <f t="shared" si="1"/>
        <v>0</v>
      </c>
      <c r="F41" s="743"/>
      <c r="G41" s="535"/>
      <c r="H41" s="535"/>
      <c r="I41" s="535"/>
      <c r="J41" s="535"/>
      <c r="K41" s="535"/>
      <c r="L41" s="501"/>
      <c r="M41" s="501"/>
    </row>
    <row r="42" spans="1:13" ht="12" customHeight="1">
      <c r="A42" s="501"/>
      <c r="B42" s="548" t="s">
        <v>586</v>
      </c>
      <c r="C42" s="450">
        <f>(C4-1)*C10</f>
        <v>0</v>
      </c>
      <c r="D42" s="443"/>
      <c r="E42" s="439">
        <f t="shared" si="1"/>
        <v>0</v>
      </c>
      <c r="F42" s="743"/>
      <c r="G42" s="535"/>
      <c r="H42" s="535"/>
      <c r="I42" s="535"/>
      <c r="J42" s="535"/>
      <c r="K42" s="535"/>
      <c r="L42" s="501"/>
      <c r="M42" s="501"/>
    </row>
    <row r="43" spans="1:13" ht="12" customHeight="1">
      <c r="A43" s="501"/>
      <c r="B43" s="548" t="s">
        <v>587</v>
      </c>
      <c r="C43" s="450">
        <f>(C4-1)*C10</f>
        <v>0</v>
      </c>
      <c r="D43" s="443"/>
      <c r="E43" s="439">
        <f t="shared" si="1"/>
        <v>0</v>
      </c>
      <c r="F43" s="744"/>
      <c r="G43" s="535"/>
      <c r="H43" s="535"/>
      <c r="I43" s="535"/>
      <c r="J43" s="535"/>
      <c r="K43" s="535"/>
      <c r="L43" s="501"/>
      <c r="M43" s="501"/>
    </row>
    <row r="44" spans="1:13" ht="12" customHeight="1">
      <c r="A44" s="501"/>
      <c r="B44" s="548" t="s">
        <v>456</v>
      </c>
      <c r="C44" s="495">
        <f>C8*C10</f>
        <v>0</v>
      </c>
      <c r="D44" s="449"/>
      <c r="E44" s="496">
        <f t="shared" si="1"/>
        <v>0</v>
      </c>
      <c r="F44" s="744"/>
      <c r="G44" s="535"/>
      <c r="H44" s="535"/>
      <c r="I44" s="535"/>
      <c r="J44" s="535"/>
      <c r="K44" s="535"/>
      <c r="L44" s="501"/>
      <c r="M44" s="501"/>
    </row>
    <row r="45" spans="1:13" ht="12" customHeight="1">
      <c r="A45" s="501"/>
      <c r="B45" s="548" t="s">
        <v>465</v>
      </c>
      <c r="C45" s="495">
        <f>C6*C10</f>
        <v>0</v>
      </c>
      <c r="D45" s="449"/>
      <c r="E45" s="496">
        <f t="shared" si="1"/>
        <v>0</v>
      </c>
      <c r="F45" s="744"/>
      <c r="G45" s="535"/>
      <c r="H45" s="535"/>
      <c r="I45" s="535"/>
      <c r="J45" s="535"/>
      <c r="K45" s="535"/>
      <c r="L45" s="501"/>
      <c r="M45" s="501"/>
    </row>
    <row r="46" spans="1:13" ht="12" customHeight="1">
      <c r="A46" s="501"/>
      <c r="B46" s="548" t="s">
        <v>466</v>
      </c>
      <c r="C46" s="495">
        <f>C6*C10</f>
        <v>0</v>
      </c>
      <c r="D46" s="449"/>
      <c r="E46" s="496">
        <f t="shared" si="1"/>
        <v>0</v>
      </c>
      <c r="F46" s="744"/>
      <c r="G46" s="535"/>
      <c r="H46" s="535"/>
      <c r="I46" s="535"/>
      <c r="J46" s="535"/>
      <c r="K46" s="535"/>
      <c r="L46" s="501"/>
      <c r="M46" s="501"/>
    </row>
    <row r="47" spans="1:13" ht="12" customHeight="1">
      <c r="A47" s="501"/>
      <c r="B47" s="548" t="s">
        <v>455</v>
      </c>
      <c r="C47" s="495">
        <f>C7*C10</f>
        <v>0</v>
      </c>
      <c r="D47" s="449"/>
      <c r="E47" s="496">
        <f t="shared" si="1"/>
        <v>0</v>
      </c>
      <c r="F47" s="744"/>
      <c r="G47" s="535"/>
      <c r="H47" s="535"/>
      <c r="I47" s="535"/>
      <c r="J47" s="535"/>
      <c r="K47" s="535"/>
      <c r="L47" s="501"/>
      <c r="M47" s="501"/>
    </row>
    <row r="48" spans="1:13" ht="12" customHeight="1">
      <c r="A48" s="501"/>
      <c r="B48" s="548" t="s">
        <v>533</v>
      </c>
      <c r="C48" s="450">
        <f>(C5+C6)*C10</f>
        <v>0</v>
      </c>
      <c r="D48" s="443"/>
      <c r="E48" s="439">
        <f t="shared" si="1"/>
        <v>0</v>
      </c>
      <c r="F48" s="744"/>
      <c r="G48" s="535"/>
      <c r="H48" s="535"/>
      <c r="I48" s="535"/>
      <c r="J48" s="535"/>
      <c r="K48" s="535"/>
      <c r="L48" s="501"/>
      <c r="M48" s="501"/>
    </row>
    <row r="49" spans="1:13" ht="12" customHeight="1">
      <c r="A49" s="501"/>
      <c r="B49" s="548" t="s">
        <v>453</v>
      </c>
      <c r="C49" s="450">
        <f>C6*C10</f>
        <v>0</v>
      </c>
      <c r="D49" s="443"/>
      <c r="E49" s="439">
        <f t="shared" si="1"/>
        <v>0</v>
      </c>
      <c r="F49" s="744"/>
      <c r="G49" s="535"/>
      <c r="H49" s="535"/>
      <c r="I49" s="535"/>
      <c r="J49" s="535"/>
      <c r="K49" s="535"/>
      <c r="L49" s="501"/>
      <c r="M49" s="501"/>
    </row>
    <row r="50" spans="1:13" ht="12" customHeight="1">
      <c r="A50" s="501"/>
      <c r="B50" s="548" t="s">
        <v>575</v>
      </c>
      <c r="C50" s="450">
        <f>C6*C10</f>
        <v>0</v>
      </c>
      <c r="D50" s="443"/>
      <c r="E50" s="439">
        <f t="shared" si="1"/>
        <v>0</v>
      </c>
      <c r="F50" s="738"/>
      <c r="G50" s="535"/>
      <c r="H50" s="535"/>
      <c r="I50" s="535"/>
      <c r="J50" s="535"/>
      <c r="K50" s="535"/>
      <c r="L50" s="501"/>
      <c r="M50" s="501"/>
    </row>
    <row r="51" spans="1:13" ht="12" customHeight="1">
      <c r="A51" s="501"/>
      <c r="B51" s="548" t="s">
        <v>458</v>
      </c>
      <c r="C51" s="450">
        <f>C5*C10</f>
        <v>0</v>
      </c>
      <c r="D51" s="443"/>
      <c r="E51" s="439">
        <f t="shared" si="1"/>
        <v>0</v>
      </c>
      <c r="F51" s="743"/>
      <c r="G51" s="535"/>
      <c r="H51" s="535"/>
      <c r="I51" s="535"/>
      <c r="J51" s="535"/>
      <c r="K51" s="535"/>
      <c r="L51" s="501"/>
      <c r="M51" s="501"/>
    </row>
    <row r="52" spans="1:13" ht="12" customHeight="1">
      <c r="A52" s="501"/>
      <c r="B52" s="621" t="s">
        <v>203</v>
      </c>
      <c r="C52" s="602">
        <f>C15</f>
        <v>0</v>
      </c>
      <c r="D52" s="618"/>
      <c r="E52" s="496">
        <f t="shared" si="1"/>
        <v>0</v>
      </c>
      <c r="F52" s="743"/>
      <c r="G52" s="535"/>
      <c r="H52" s="535"/>
      <c r="I52" s="535"/>
      <c r="J52" s="535"/>
      <c r="K52" s="535"/>
      <c r="L52" s="501"/>
      <c r="M52" s="501"/>
    </row>
    <row r="53" spans="1:13" ht="12" customHeight="1">
      <c r="A53" s="501"/>
      <c r="B53" s="621" t="s">
        <v>206</v>
      </c>
      <c r="C53" s="602">
        <f>C14</f>
        <v>0</v>
      </c>
      <c r="D53" s="618"/>
      <c r="E53" s="496">
        <f t="shared" si="1"/>
        <v>0</v>
      </c>
      <c r="F53" s="743"/>
      <c r="G53" s="535"/>
      <c r="H53" s="535"/>
      <c r="I53" s="535"/>
      <c r="J53" s="535"/>
      <c r="K53" s="535"/>
      <c r="L53" s="501"/>
      <c r="M53" s="501"/>
    </row>
    <row r="54" spans="1:13" ht="12" customHeight="1">
      <c r="A54" s="501"/>
      <c r="B54" s="621" t="s">
        <v>769</v>
      </c>
      <c r="C54" s="602">
        <f>C16</f>
        <v>0</v>
      </c>
      <c r="D54" s="618"/>
      <c r="E54" s="496">
        <f t="shared" si="1"/>
        <v>0</v>
      </c>
      <c r="F54" s="743"/>
      <c r="G54" s="535"/>
      <c r="H54" s="535"/>
      <c r="I54" s="535"/>
      <c r="J54" s="535"/>
      <c r="K54" s="535"/>
      <c r="L54" s="501"/>
      <c r="M54" s="501"/>
    </row>
    <row r="55" spans="1:13" ht="12" customHeight="1" thickBot="1">
      <c r="A55" s="501"/>
      <c r="B55" s="550" t="s">
        <v>459</v>
      </c>
      <c r="C55" s="498">
        <f>C5*C10</f>
        <v>0</v>
      </c>
      <c r="D55" s="499"/>
      <c r="E55" s="500">
        <f t="shared" si="1"/>
        <v>0</v>
      </c>
      <c r="F55" s="743"/>
      <c r="G55" s="535"/>
      <c r="H55" s="535"/>
      <c r="I55" s="535"/>
      <c r="J55" s="535"/>
      <c r="K55" s="535"/>
      <c r="L55" s="501"/>
      <c r="M55" s="501"/>
    </row>
    <row r="56" spans="1:13" ht="12" customHeight="1" thickBot="1">
      <c r="A56" s="501"/>
      <c r="B56" s="535"/>
      <c r="C56" s="535"/>
      <c r="D56" s="551" t="s">
        <v>9</v>
      </c>
      <c r="E56" s="623">
        <f>SUMIF(E19:E55,"&gt;0",E19:E55)</f>
        <v>0</v>
      </c>
      <c r="F56" s="743"/>
      <c r="G56" s="535"/>
      <c r="H56" s="535"/>
      <c r="I56" s="535"/>
      <c r="J56" s="535"/>
      <c r="K56" s="535"/>
      <c r="L56" s="501"/>
      <c r="M56" s="501"/>
    </row>
    <row r="57" spans="1:13">
      <c r="A57" s="501"/>
      <c r="B57" s="535"/>
      <c r="C57" s="535"/>
      <c r="D57" s="535"/>
      <c r="E57" s="535"/>
      <c r="F57" s="744"/>
      <c r="G57" s="535"/>
      <c r="H57" s="535"/>
      <c r="I57" s="535"/>
      <c r="J57" s="535"/>
      <c r="K57" s="535"/>
      <c r="L57" s="501"/>
      <c r="M57" s="501"/>
    </row>
    <row r="58" spans="1:13">
      <c r="A58" s="501"/>
      <c r="B58" s="535"/>
      <c r="C58" s="535"/>
      <c r="D58" s="535"/>
      <c r="E58" s="535"/>
      <c r="F58" s="535"/>
      <c r="G58" s="535"/>
      <c r="H58" s="535"/>
      <c r="I58" s="535"/>
      <c r="J58" s="535"/>
      <c r="K58" s="535"/>
      <c r="L58" s="501"/>
      <c r="M58" s="501"/>
    </row>
    <row r="59" spans="1:13" ht="11.25" customHeight="1">
      <c r="A59" s="501"/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</row>
    <row r="60" spans="1:13" ht="11.25" customHeight="1">
      <c r="A60" s="501"/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</row>
    <row r="61" spans="1:13">
      <c r="A61" s="501"/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</row>
    <row r="62" spans="1:13">
      <c r="A62" s="501"/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</row>
    <row r="63" spans="1:13" ht="11.25" customHeight="1">
      <c r="A63" s="501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</row>
    <row r="64" spans="1:13" ht="11.25" customHeight="1"/>
  </sheetData>
  <sheetProtection algorithmName="SHA-512" hashValue="laXhkm8PJm4xHYvH5eBJ5bKOQ4YJ+x/k6cwNihbUoFx+jqdNnN4pBOVLDyX1Hk8xN10bxvV2RnURDapDf+Ih4w==" saltValue="mdurfrjhXmOWeqFJQQw37g==" spinCount="100000" sheet="1"/>
  <mergeCells count="9">
    <mergeCell ref="D15:F15"/>
    <mergeCell ref="D16:F16"/>
    <mergeCell ref="B1:E1"/>
    <mergeCell ref="D2:F3"/>
    <mergeCell ref="D4:F4"/>
    <mergeCell ref="F5:F8"/>
    <mergeCell ref="F12:F13"/>
    <mergeCell ref="D10:F10"/>
    <mergeCell ref="D14:F14"/>
  </mergeCells>
  <conditionalFormatting sqref="C2:C3">
    <cfRule type="cellIs" dxfId="189" priority="34" operator="greaterThan">
      <formula>0</formula>
    </cfRule>
  </conditionalFormatting>
  <conditionalFormatting sqref="C9">
    <cfRule type="cellIs" dxfId="188" priority="30" operator="greaterThan">
      <formula>0</formula>
    </cfRule>
  </conditionalFormatting>
  <conditionalFormatting sqref="C9">
    <cfRule type="cellIs" dxfId="187" priority="33" operator="greaterThan">
      <formula>0</formula>
    </cfRule>
  </conditionalFormatting>
  <conditionalFormatting sqref="C9">
    <cfRule type="cellIs" dxfId="186" priority="32" operator="greaterThan">
      <formula>0</formula>
    </cfRule>
  </conditionalFormatting>
  <conditionalFormatting sqref="C9">
    <cfRule type="cellIs" dxfId="185" priority="31" operator="greaterThan">
      <formula>0</formula>
    </cfRule>
  </conditionalFormatting>
  <conditionalFormatting sqref="C2:C9">
    <cfRule type="cellIs" dxfId="184" priority="29" operator="greaterThan">
      <formula>0</formula>
    </cfRule>
  </conditionalFormatting>
  <conditionalFormatting sqref="C26:E26">
    <cfRule type="cellIs" dxfId="183" priority="26" operator="greaterThan">
      <formula>0</formula>
    </cfRule>
  </conditionalFormatting>
  <conditionalFormatting sqref="C29:E29">
    <cfRule type="cellIs" dxfId="182" priority="25" operator="greaterThan">
      <formula>0</formula>
    </cfRule>
  </conditionalFormatting>
  <conditionalFormatting sqref="C32:E32">
    <cfRule type="cellIs" dxfId="181" priority="21" operator="greaterThan">
      <formula>0</formula>
    </cfRule>
  </conditionalFormatting>
  <conditionalFormatting sqref="C26:E26">
    <cfRule type="cellIs" dxfId="180" priority="27" operator="greaterThan">
      <formula>0</formula>
    </cfRule>
  </conditionalFormatting>
  <conditionalFormatting sqref="C26:E26">
    <cfRule type="cellIs" dxfId="179" priority="28" operator="greaterThan">
      <formula>0</formula>
    </cfRule>
  </conditionalFormatting>
  <conditionalFormatting sqref="C32:E32">
    <cfRule type="cellIs" dxfId="178" priority="22" operator="greaterThan">
      <formula>0</formula>
    </cfRule>
    <cfRule type="cellIs" dxfId="177" priority="23" operator="greaterThan">
      <formula>0</formula>
    </cfRule>
    <cfRule type="cellIs" dxfId="176" priority="24" operator="greaterThan">
      <formula>0</formula>
    </cfRule>
  </conditionalFormatting>
  <conditionalFormatting sqref="C44:E47">
    <cfRule type="cellIs" dxfId="175" priority="14" operator="greaterThan">
      <formula>0</formula>
    </cfRule>
  </conditionalFormatting>
  <conditionalFormatting sqref="C45:E46">
    <cfRule type="cellIs" dxfId="174" priority="19" operator="greaterThan">
      <formula>0</formula>
    </cfRule>
  </conditionalFormatting>
  <conditionalFormatting sqref="C44:E44">
    <cfRule type="cellIs" dxfId="173" priority="20" operator="greaterThan">
      <formula>0</formula>
    </cfRule>
  </conditionalFormatting>
  <conditionalFormatting sqref="C47:E47">
    <cfRule type="cellIs" dxfId="172" priority="18" operator="greaterThan">
      <formula>0</formula>
    </cfRule>
  </conditionalFormatting>
  <conditionalFormatting sqref="C44:E47">
    <cfRule type="cellIs" dxfId="171" priority="15" operator="greaterThan">
      <formula>0</formula>
    </cfRule>
    <cfRule type="cellIs" dxfId="170" priority="16" operator="greaterThan">
      <formula>0</formula>
    </cfRule>
    <cfRule type="cellIs" dxfId="169" priority="17" operator="greaterThan">
      <formula>0</formula>
    </cfRule>
  </conditionalFormatting>
  <conditionalFormatting sqref="C44:E47">
    <cfRule type="cellIs" dxfId="168" priority="13" operator="greaterThan">
      <formula>0</formula>
    </cfRule>
  </conditionalFormatting>
  <conditionalFormatting sqref="J3:K17">
    <cfRule type="cellIs" dxfId="167" priority="3" operator="greaterThan">
      <formula>0</formula>
    </cfRule>
    <cfRule type="cellIs" dxfId="166" priority="7" operator="greaterThan">
      <formula>0</formula>
    </cfRule>
    <cfRule type="cellIs" dxfId="165" priority="8" operator="greaterThan">
      <formula>0</formula>
    </cfRule>
    <cfRule type="cellIs" dxfId="164" priority="9" operator="greaterThan">
      <formula>0</formula>
    </cfRule>
  </conditionalFormatting>
  <conditionalFormatting sqref="I3:I17">
    <cfRule type="cellIs" dxfId="163" priority="10" operator="equal">
      <formula>"НЕТ"</formula>
    </cfRule>
    <cfRule type="cellIs" dxfId="162" priority="11" operator="equal">
      <formula>"ДА"</formula>
    </cfRule>
  </conditionalFormatting>
  <conditionalFormatting sqref="I3:I17">
    <cfRule type="colorScale" priority="1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2:C13">
    <cfRule type="cellIs" dxfId="161" priority="6" operator="greaterThan">
      <formula>0</formula>
    </cfRule>
  </conditionalFormatting>
  <conditionalFormatting sqref="C19:E51 C55:E55">
    <cfRule type="cellIs" dxfId="160" priority="5" operator="greaterThan">
      <formula>0</formula>
    </cfRule>
  </conditionalFormatting>
  <conditionalFormatting sqref="E56">
    <cfRule type="cellIs" dxfId="159" priority="4" operator="greaterThan">
      <formula>0</formula>
    </cfRule>
  </conditionalFormatting>
  <conditionalFormatting sqref="C14:C16">
    <cfRule type="cellIs" dxfId="158" priority="2" operator="greaterThan">
      <formula>0</formula>
    </cfRule>
  </conditionalFormatting>
  <conditionalFormatting sqref="C52:E54">
    <cfRule type="cellIs" dxfId="157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36"/>
  <sheetViews>
    <sheetView zoomScale="130" zoomScaleNormal="130" workbookViewId="0">
      <selection activeCell="D16" sqref="D16"/>
    </sheetView>
  </sheetViews>
  <sheetFormatPr defaultRowHeight="11.25"/>
  <cols>
    <col min="1" max="1" width="59.83203125" customWidth="1"/>
    <col min="2" max="2" width="11.33203125" customWidth="1"/>
    <col min="3" max="3" width="11.1640625" customWidth="1"/>
    <col min="4" max="4" width="12.1640625" customWidth="1"/>
    <col min="5" max="5" width="12.5" customWidth="1"/>
    <col min="13" max="13" width="20.5" customWidth="1"/>
  </cols>
  <sheetData>
    <row r="1" spans="1:13" ht="31.5" customHeight="1" thickBot="1">
      <c r="A1" s="869" t="s">
        <v>656</v>
      </c>
      <c r="B1" s="870"/>
      <c r="C1" s="870"/>
      <c r="D1" s="870"/>
      <c r="E1" s="375"/>
      <c r="F1" s="15"/>
    </row>
    <row r="2" spans="1:13" ht="14.25">
      <c r="A2" s="12" t="s">
        <v>3</v>
      </c>
      <c r="B2" s="16"/>
      <c r="C2" s="17"/>
      <c r="D2" s="17"/>
      <c r="E2" s="17"/>
      <c r="F2" s="18"/>
      <c r="H2" s="871" t="s">
        <v>150</v>
      </c>
      <c r="I2" s="872"/>
      <c r="J2" s="872"/>
      <c r="K2" s="872"/>
      <c r="L2" s="872"/>
      <c r="M2" s="873"/>
    </row>
    <row r="3" spans="1:13" ht="12" thickBot="1">
      <c r="A3" s="13" t="s">
        <v>10</v>
      </c>
      <c r="B3" s="19">
        <v>1.4</v>
      </c>
      <c r="C3" s="17"/>
      <c r="D3" s="17"/>
      <c r="E3" s="17"/>
      <c r="F3" s="18"/>
      <c r="H3" s="874"/>
      <c r="I3" s="875"/>
      <c r="J3" s="875"/>
      <c r="K3" s="875"/>
      <c r="L3" s="875"/>
      <c r="M3" s="876"/>
    </row>
    <row r="4" spans="1:13">
      <c r="A4" s="13" t="s">
        <v>1</v>
      </c>
      <c r="B4" s="19">
        <v>1</v>
      </c>
      <c r="C4" s="17"/>
      <c r="D4" s="17"/>
      <c r="E4" s="17"/>
      <c r="F4" s="18"/>
    </row>
    <row r="5" spans="1:13">
      <c r="A5" s="13" t="s">
        <v>2</v>
      </c>
      <c r="B5" s="19">
        <v>1</v>
      </c>
      <c r="C5" s="17"/>
      <c r="D5" s="17"/>
      <c r="E5" s="17"/>
      <c r="F5" s="18"/>
    </row>
    <row r="6" spans="1:13">
      <c r="A6" s="13" t="s">
        <v>170</v>
      </c>
      <c r="B6" s="19">
        <v>10</v>
      </c>
      <c r="C6" s="17"/>
      <c r="D6" s="17"/>
      <c r="E6" s="17"/>
      <c r="F6" s="18"/>
    </row>
    <row r="7" spans="1:13">
      <c r="A7" s="13" t="s">
        <v>648</v>
      </c>
      <c r="B7" s="19">
        <v>2</v>
      </c>
      <c r="C7" s="17"/>
      <c r="D7" s="17"/>
      <c r="E7" s="17"/>
      <c r="F7" s="18"/>
    </row>
    <row r="8" spans="1:13">
      <c r="A8" s="13" t="s">
        <v>651</v>
      </c>
      <c r="B8" s="19">
        <v>2</v>
      </c>
      <c r="C8" s="17"/>
      <c r="D8" s="17"/>
      <c r="E8" s="17"/>
      <c r="F8" s="18"/>
    </row>
    <row r="9" spans="1:13" ht="12" thickBot="1">
      <c r="A9" s="14" t="s">
        <v>652</v>
      </c>
      <c r="B9" s="20">
        <v>50</v>
      </c>
      <c r="C9" s="17"/>
      <c r="D9" s="17"/>
      <c r="E9" s="17"/>
      <c r="F9" s="18"/>
    </row>
    <row r="10" spans="1:13">
      <c r="A10" s="21"/>
      <c r="B10" s="22"/>
      <c r="C10" s="17"/>
      <c r="D10" s="17"/>
      <c r="E10" s="17"/>
      <c r="F10" s="18"/>
    </row>
    <row r="11" spans="1:13" ht="12" thickBot="1">
      <c r="A11" s="23" t="s">
        <v>11</v>
      </c>
      <c r="B11" s="24"/>
      <c r="C11" s="24"/>
      <c r="D11" s="24"/>
      <c r="E11" s="24"/>
      <c r="F11" s="18"/>
    </row>
    <row r="12" spans="1:13">
      <c r="A12" s="25"/>
      <c r="B12" s="26" t="s">
        <v>12</v>
      </c>
      <c r="C12" s="27" t="s">
        <v>4</v>
      </c>
      <c r="D12" s="27" t="s">
        <v>13</v>
      </c>
      <c r="E12" s="16"/>
      <c r="F12" s="18"/>
    </row>
    <row r="13" spans="1:13" ht="12.75" customHeight="1">
      <c r="A13" s="28" t="s">
        <v>104</v>
      </c>
      <c r="B13" s="29"/>
      <c r="C13" s="30"/>
      <c r="D13" s="152">
        <f>4*B5</f>
        <v>4</v>
      </c>
      <c r="E13" s="31">
        <f t="shared" ref="E13:E24" si="0">D13*C13</f>
        <v>0</v>
      </c>
      <c r="F13" s="18"/>
    </row>
    <row r="14" spans="1:13">
      <c r="A14" s="28" t="s">
        <v>301</v>
      </c>
      <c r="B14" s="29"/>
      <c r="C14" s="30"/>
      <c r="D14" s="152">
        <f>B5</f>
        <v>1</v>
      </c>
      <c r="E14" s="31">
        <f t="shared" si="0"/>
        <v>0</v>
      </c>
      <c r="F14" s="18"/>
    </row>
    <row r="15" spans="1:13">
      <c r="A15" s="28" t="s">
        <v>645</v>
      </c>
      <c r="B15" s="29"/>
      <c r="C15" s="30"/>
      <c r="D15" s="152">
        <f>(B3-0.014)*B5</f>
        <v>1.3859999999999999</v>
      </c>
      <c r="E15" s="31">
        <f t="shared" si="0"/>
        <v>0</v>
      </c>
      <c r="F15" s="18"/>
    </row>
    <row r="16" spans="1:13">
      <c r="A16" s="28" t="s">
        <v>14</v>
      </c>
      <c r="B16" s="29"/>
      <c r="C16" s="30"/>
      <c r="D16" s="152">
        <f>(B3-0.01)*B5</f>
        <v>1.39</v>
      </c>
      <c r="E16" s="31">
        <f t="shared" si="0"/>
        <v>0</v>
      </c>
      <c r="F16" s="18"/>
    </row>
    <row r="17" spans="1:6">
      <c r="A17" s="28" t="s">
        <v>654</v>
      </c>
      <c r="B17" s="29"/>
      <c r="C17" s="30"/>
      <c r="D17" s="152">
        <f>B5</f>
        <v>1</v>
      </c>
      <c r="E17" s="31"/>
      <c r="F17" s="18"/>
    </row>
    <row r="18" spans="1:6">
      <c r="A18" s="28" t="s">
        <v>655</v>
      </c>
      <c r="B18" s="29"/>
      <c r="C18" s="30"/>
      <c r="D18" s="152">
        <f>D16</f>
        <v>1.39</v>
      </c>
      <c r="E18" s="31"/>
      <c r="F18" s="18"/>
    </row>
    <row r="19" spans="1:6">
      <c r="A19" s="28" t="s">
        <v>115</v>
      </c>
      <c r="B19" s="33"/>
      <c r="C19" s="34"/>
      <c r="D19" s="152">
        <f>B5*2</f>
        <v>2</v>
      </c>
      <c r="E19" s="31">
        <f t="shared" si="0"/>
        <v>0</v>
      </c>
      <c r="F19" s="18"/>
    </row>
    <row r="20" spans="1:6">
      <c r="A20" s="124" t="s">
        <v>103</v>
      </c>
      <c r="B20" s="33"/>
      <c r="C20" s="34"/>
      <c r="D20" s="152">
        <f>D15</f>
        <v>1.3859999999999999</v>
      </c>
      <c r="E20" s="31"/>
      <c r="F20" s="18"/>
    </row>
    <row r="21" spans="1:6">
      <c r="A21" s="28" t="s">
        <v>27</v>
      </c>
      <c r="B21" s="29"/>
      <c r="C21" s="30"/>
      <c r="D21" s="152">
        <f>(B4-0.07)*2*B5</f>
        <v>1.8599999999999999</v>
      </c>
      <c r="E21" s="31">
        <f t="shared" si="0"/>
        <v>0</v>
      </c>
      <c r="F21" s="18"/>
    </row>
    <row r="22" spans="1:6">
      <c r="A22" s="28" t="s">
        <v>18</v>
      </c>
      <c r="B22" s="29"/>
      <c r="C22" s="30"/>
      <c r="D22" s="152">
        <f>(B4-0.07)*B5*2</f>
        <v>1.8599999999999999</v>
      </c>
      <c r="E22" s="31">
        <f t="shared" si="0"/>
        <v>0</v>
      </c>
      <c r="F22" s="18"/>
    </row>
    <row r="23" spans="1:6">
      <c r="A23" s="28" t="s">
        <v>19</v>
      </c>
      <c r="B23" s="29"/>
      <c r="C23" s="35"/>
      <c r="D23" s="152">
        <f>B3*B5</f>
        <v>1.4</v>
      </c>
      <c r="E23" s="31">
        <f t="shared" si="0"/>
        <v>0</v>
      </c>
      <c r="F23" s="18"/>
    </row>
    <row r="24" spans="1:6">
      <c r="A24" s="28" t="s">
        <v>20</v>
      </c>
      <c r="B24" s="29"/>
      <c r="C24" s="35"/>
      <c r="D24" s="152">
        <f>B3*B5</f>
        <v>1.4</v>
      </c>
      <c r="E24" s="31">
        <f t="shared" si="0"/>
        <v>0</v>
      </c>
      <c r="F24" s="18"/>
    </row>
    <row r="25" spans="1:6">
      <c r="A25" s="28" t="s">
        <v>646</v>
      </c>
      <c r="B25" s="29"/>
      <c r="C25" s="30"/>
      <c r="D25" s="152">
        <f>B5</f>
        <v>1</v>
      </c>
      <c r="E25" s="31">
        <f>C25*D25</f>
        <v>0</v>
      </c>
      <c r="F25" s="18"/>
    </row>
    <row r="26" spans="1:6">
      <c r="A26" s="28" t="s">
        <v>650</v>
      </c>
      <c r="B26" s="29"/>
      <c r="C26" s="35"/>
      <c r="D26" s="152">
        <f>B8</f>
        <v>2</v>
      </c>
      <c r="E26" s="31">
        <f>D26*C26</f>
        <v>0</v>
      </c>
      <c r="F26" s="18"/>
    </row>
    <row r="27" spans="1:6">
      <c r="A27" s="28" t="s">
        <v>649</v>
      </c>
      <c r="B27" s="29"/>
      <c r="C27" s="35"/>
      <c r="D27" s="152">
        <f>B6</f>
        <v>10</v>
      </c>
      <c r="E27" s="31">
        <f>D27*C27</f>
        <v>0</v>
      </c>
      <c r="F27" s="18"/>
    </row>
    <row r="28" spans="1:6">
      <c r="A28" s="29" t="s">
        <v>647</v>
      </c>
      <c r="B28" s="376"/>
      <c r="C28" s="376"/>
      <c r="D28" s="376">
        <f>B7</f>
        <v>2</v>
      </c>
      <c r="E28" s="31">
        <f>D28*C28</f>
        <v>0</v>
      </c>
      <c r="F28" s="18"/>
    </row>
    <row r="29" spans="1:6">
      <c r="A29" s="21"/>
      <c r="B29" s="17"/>
      <c r="C29" s="17"/>
      <c r="D29" s="17"/>
      <c r="E29" s="41">
        <f>SUM(E13:E27)</f>
        <v>0</v>
      </c>
      <c r="F29" s="18"/>
    </row>
    <row r="30" spans="1:6">
      <c r="A30" s="21"/>
      <c r="B30" s="17"/>
      <c r="C30" s="17"/>
      <c r="D30" s="17"/>
      <c r="E30" s="17"/>
      <c r="F30" s="18"/>
    </row>
    <row r="31" spans="1:6" ht="12" thickBot="1">
      <c r="A31" s="23" t="s">
        <v>22</v>
      </c>
      <c r="B31" s="24"/>
      <c r="C31" s="24"/>
      <c r="D31" s="24"/>
      <c r="E31" s="17"/>
      <c r="F31" s="18"/>
    </row>
    <row r="32" spans="1:6">
      <c r="A32" s="42" t="s">
        <v>35</v>
      </c>
      <c r="B32" s="26"/>
      <c r="C32" s="26"/>
      <c r="D32" s="26"/>
      <c r="E32" s="16"/>
      <c r="F32" s="18"/>
    </row>
    <row r="33" spans="1:6" ht="12" thickBot="1">
      <c r="A33" s="36" t="s">
        <v>25</v>
      </c>
      <c r="B33" s="37"/>
      <c r="C33" s="38"/>
      <c r="D33" s="39">
        <f>(B4-0.07)*2*B5</f>
        <v>1.8599999999999999</v>
      </c>
      <c r="E33" s="40">
        <f>D33*C33</f>
        <v>0</v>
      </c>
      <c r="F33" s="18"/>
    </row>
    <row r="34" spans="1:6">
      <c r="A34" s="877" t="s">
        <v>26</v>
      </c>
      <c r="B34" s="878"/>
      <c r="C34" s="878"/>
      <c r="D34" s="879"/>
      <c r="E34" s="43">
        <f>SUM(E33:E33)+E29</f>
        <v>0</v>
      </c>
      <c r="F34" s="18"/>
    </row>
    <row r="35" spans="1:6">
      <c r="A35" s="46"/>
      <c r="B35" s="17"/>
      <c r="C35" s="17"/>
      <c r="D35" s="17"/>
      <c r="E35" s="41"/>
      <c r="F35" s="18"/>
    </row>
    <row r="36" spans="1:6" ht="15.75" thickBot="1">
      <c r="A36" s="47" t="s">
        <v>28</v>
      </c>
      <c r="B36" s="44"/>
      <c r="C36" s="44"/>
      <c r="D36" s="44"/>
      <c r="E36" s="44"/>
      <c r="F36" s="45"/>
    </row>
  </sheetData>
  <mergeCells count="3">
    <mergeCell ref="A1:D1"/>
    <mergeCell ref="H2:M3"/>
    <mergeCell ref="A34:D34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K69"/>
  <sheetViews>
    <sheetView tabSelected="1" workbookViewId="0">
      <pane ySplit="20" topLeftCell="A39" activePane="bottomLeft" state="frozen"/>
      <selection pane="bottomLeft" activeCell="H51" sqref="H51"/>
    </sheetView>
  </sheetViews>
  <sheetFormatPr defaultRowHeight="11.25"/>
  <cols>
    <col min="1" max="1" width="5" customWidth="1"/>
    <col min="2" max="2" width="60.1640625" customWidth="1"/>
    <col min="4" max="4" width="11.83203125" customWidth="1"/>
    <col min="5" max="5" width="14.33203125" customWidth="1"/>
    <col min="6" max="6" width="28.6640625" customWidth="1"/>
    <col min="7" max="7" width="4.33203125" customWidth="1"/>
    <col min="8" max="8" width="48.5" customWidth="1"/>
    <col min="9" max="9" width="5.1640625" customWidth="1"/>
  </cols>
  <sheetData>
    <row r="1" spans="1:11" ht="51" customHeight="1" thickBot="1">
      <c r="A1" s="501"/>
      <c r="B1" s="1102"/>
      <c r="C1" s="1103"/>
      <c r="D1" s="1103"/>
      <c r="E1" s="1103"/>
      <c r="F1" s="501"/>
      <c r="G1" s="501"/>
      <c r="H1" s="501"/>
      <c r="I1" s="501"/>
      <c r="J1" s="501"/>
      <c r="K1" s="501"/>
    </row>
    <row r="2" spans="1:11" ht="12" customHeight="1" thickBot="1">
      <c r="A2" s="501"/>
      <c r="B2" s="503" t="s">
        <v>746</v>
      </c>
      <c r="C2" s="687">
        <v>0</v>
      </c>
      <c r="D2" s="1047" t="s">
        <v>675</v>
      </c>
      <c r="E2" s="1048"/>
      <c r="F2" s="1049"/>
      <c r="G2" s="535"/>
      <c r="H2" s="505" t="s">
        <v>565</v>
      </c>
      <c r="I2" s="784" t="s">
        <v>684</v>
      </c>
      <c r="J2" s="506" t="s">
        <v>4</v>
      </c>
      <c r="K2" s="507" t="s">
        <v>8</v>
      </c>
    </row>
    <row r="3" spans="1:11" ht="12" customHeight="1" thickBot="1">
      <c r="A3" s="501"/>
      <c r="B3" s="508" t="s">
        <v>747</v>
      </c>
      <c r="C3" s="555">
        <v>0</v>
      </c>
      <c r="D3" s="1050"/>
      <c r="E3" s="1051"/>
      <c r="F3" s="1052"/>
      <c r="G3" s="535"/>
      <c r="H3" s="509" t="s">
        <v>569</v>
      </c>
      <c r="I3" s="719" t="str">
        <f>IF(AND($C$6+$C$7=1,$C$8+$C$9=0,$C$10=1),"ДА","НЕТ")</f>
        <v>НЕТ</v>
      </c>
      <c r="J3" s="413"/>
      <c r="K3" s="414">
        <f>IF(I3="ДА",($C$4+$C$5)*J3,0)</f>
        <v>0</v>
      </c>
    </row>
    <row r="4" spans="1:11" ht="12" customHeight="1">
      <c r="A4" s="501"/>
      <c r="B4" s="503" t="s">
        <v>589</v>
      </c>
      <c r="C4" s="682">
        <v>0</v>
      </c>
      <c r="D4" s="1110" t="s">
        <v>164</v>
      </c>
      <c r="E4" s="1111"/>
      <c r="F4" s="1112"/>
      <c r="G4" s="535"/>
      <c r="H4" s="514" t="s">
        <v>566</v>
      </c>
      <c r="I4" s="720" t="str">
        <f>IF(AND($C$6+$C$7=1,$C$8+$C$9=0,$C$10=3),"ДА","НЕТ")</f>
        <v>НЕТ</v>
      </c>
      <c r="J4" s="420"/>
      <c r="K4" s="414">
        <f t="shared" ref="K4:K15" si="0">IF(I4="ДА",($C$4+$C$5)*J4,0)</f>
        <v>0</v>
      </c>
    </row>
    <row r="5" spans="1:11" ht="12" customHeight="1" thickBot="1">
      <c r="A5" s="501"/>
      <c r="B5" s="536" t="s">
        <v>590</v>
      </c>
      <c r="C5" s="684">
        <v>0</v>
      </c>
      <c r="D5" s="1116"/>
      <c r="E5" s="1117"/>
      <c r="F5" s="1118"/>
      <c r="G5" s="535"/>
      <c r="H5" s="514" t="s">
        <v>671</v>
      </c>
      <c r="I5" s="720" t="str">
        <f>IF(AND($C$6+$C$7=1,$C$8+$C$9=0,$C$10=3),"ДА","НЕТ")</f>
        <v>НЕТ</v>
      </c>
      <c r="J5" s="420"/>
      <c r="K5" s="414">
        <f t="shared" si="0"/>
        <v>0</v>
      </c>
    </row>
    <row r="6" spans="1:11" ht="12" customHeight="1">
      <c r="A6" s="501"/>
      <c r="B6" s="503" t="s">
        <v>578</v>
      </c>
      <c r="C6" s="703">
        <v>0</v>
      </c>
      <c r="D6" s="516" t="s">
        <v>365</v>
      </c>
      <c r="E6" s="721" t="s">
        <v>327</v>
      </c>
      <c r="F6" s="1056" t="s">
        <v>677</v>
      </c>
      <c r="G6" s="535"/>
      <c r="H6" s="514" t="s">
        <v>567</v>
      </c>
      <c r="I6" s="720" t="str">
        <f>IF(AND($C$6+$C$7=1,$C$8+$C$9=0,$C$10=2),"ДА","НЕТ")</f>
        <v>НЕТ</v>
      </c>
      <c r="J6" s="420"/>
      <c r="K6" s="414">
        <f t="shared" si="0"/>
        <v>0</v>
      </c>
    </row>
    <row r="7" spans="1:11" ht="12" customHeight="1">
      <c r="A7" s="501"/>
      <c r="B7" s="513" t="s">
        <v>579</v>
      </c>
      <c r="C7" s="557">
        <v>0</v>
      </c>
      <c r="D7" s="520" t="s">
        <v>365</v>
      </c>
      <c r="E7" s="740" t="s">
        <v>327</v>
      </c>
      <c r="F7" s="1056"/>
      <c r="G7" s="535"/>
      <c r="H7" s="514" t="s">
        <v>568</v>
      </c>
      <c r="I7" s="720" t="str">
        <f>IF(AND($C$6+$C$7=1,$C$8+$C$9=0,$C$10=2),"ДА","НЕТ")</f>
        <v>НЕТ</v>
      </c>
      <c r="J7" s="420"/>
      <c r="K7" s="414">
        <f t="shared" si="0"/>
        <v>0</v>
      </c>
    </row>
    <row r="8" spans="1:11" ht="12" customHeight="1">
      <c r="A8" s="501"/>
      <c r="B8" s="515" t="s">
        <v>580</v>
      </c>
      <c r="C8" s="558">
        <v>0</v>
      </c>
      <c r="D8" s="518" t="s">
        <v>365</v>
      </c>
      <c r="E8" s="786" t="s">
        <v>327</v>
      </c>
      <c r="F8" s="1056"/>
      <c r="G8" s="535"/>
      <c r="H8" s="514" t="s">
        <v>574</v>
      </c>
      <c r="I8" s="720" t="str">
        <f>IF(AND($C$6+$C$7=1,$C$8+$C$9=0,$C$10=2),"ДА","НЕТ")</f>
        <v>НЕТ</v>
      </c>
      <c r="J8" s="420"/>
      <c r="K8" s="414">
        <f t="shared" si="0"/>
        <v>0</v>
      </c>
    </row>
    <row r="9" spans="1:11" ht="12" customHeight="1" thickBot="1">
      <c r="A9" s="501"/>
      <c r="B9" s="508" t="s">
        <v>581</v>
      </c>
      <c r="C9" s="559">
        <v>0</v>
      </c>
      <c r="D9" s="523" t="s">
        <v>365</v>
      </c>
      <c r="E9" s="816" t="s">
        <v>327</v>
      </c>
      <c r="F9" s="1057"/>
      <c r="G9" s="535"/>
      <c r="H9" s="509" t="s">
        <v>670</v>
      </c>
      <c r="I9" s="720" t="str">
        <f>IF(AND($C$6+$C$7=1,$C$8+$C$9=0,$C$10=1),"ДА","НЕТ")</f>
        <v>НЕТ</v>
      </c>
      <c r="J9" s="413"/>
      <c r="K9" s="414">
        <f t="shared" si="0"/>
        <v>0</v>
      </c>
    </row>
    <row r="10" spans="1:11" ht="12" customHeight="1" thickBot="1">
      <c r="A10" s="501"/>
      <c r="B10" s="525" t="s">
        <v>669</v>
      </c>
      <c r="C10" s="644">
        <v>0</v>
      </c>
      <c r="D10" s="529" t="s">
        <v>699</v>
      </c>
      <c r="E10" s="817" t="s">
        <v>700</v>
      </c>
      <c r="F10" s="532" t="s">
        <v>701</v>
      </c>
      <c r="G10" s="535"/>
      <c r="H10" s="509" t="s">
        <v>462</v>
      </c>
      <c r="I10" s="720" t="str">
        <f>IF(AND($C$6+$C$7=0,$C$8+$C$9=1,$C$10=1),"ДА","НЕТ")</f>
        <v>НЕТ</v>
      </c>
      <c r="J10" s="420"/>
      <c r="K10" s="414">
        <f t="shared" si="0"/>
        <v>0</v>
      </c>
    </row>
    <row r="11" spans="1:11" ht="12" customHeight="1" thickBot="1">
      <c r="A11" s="501"/>
      <c r="B11" s="511" t="s">
        <v>472</v>
      </c>
      <c r="C11" s="556">
        <v>0</v>
      </c>
      <c r="D11" s="796" t="s">
        <v>473</v>
      </c>
      <c r="E11" s="815" t="s">
        <v>474</v>
      </c>
      <c r="F11" s="1123"/>
      <c r="G11" s="535"/>
      <c r="H11" s="512" t="s">
        <v>463</v>
      </c>
      <c r="I11" s="720" t="str">
        <f>IF(AND($C$6+$C$7=0,$C$8+$C$9=1,$C$10=1),"ДА","НЕТ")</f>
        <v>НЕТ</v>
      </c>
      <c r="J11" s="420"/>
      <c r="K11" s="414">
        <f t="shared" si="0"/>
        <v>0</v>
      </c>
    </row>
    <row r="12" spans="1:11" ht="12" customHeight="1" thickBot="1">
      <c r="A12" s="501"/>
      <c r="B12" s="525" t="s">
        <v>436</v>
      </c>
      <c r="C12" s="561">
        <v>0</v>
      </c>
      <c r="D12" s="529" t="s">
        <v>496</v>
      </c>
      <c r="E12" s="532" t="s">
        <v>497</v>
      </c>
      <c r="F12" s="1124"/>
      <c r="G12" s="535"/>
      <c r="H12" s="512" t="s">
        <v>464</v>
      </c>
      <c r="I12" s="720" t="str">
        <f>IF(AND($C$6+$C$7=0,$C$8+$C$9=1,$C$10=1),"ДА","НЕТ")</f>
        <v>НЕТ</v>
      </c>
      <c r="J12" s="423"/>
      <c r="K12" s="414">
        <f t="shared" si="0"/>
        <v>0</v>
      </c>
    </row>
    <row r="13" spans="1:11" ht="12" customHeight="1" thickBot="1">
      <c r="A13" s="501"/>
      <c r="B13" s="525" t="s">
        <v>152</v>
      </c>
      <c r="C13" s="662">
        <v>0</v>
      </c>
      <c r="D13" s="1099" t="s">
        <v>755</v>
      </c>
      <c r="E13" s="1100"/>
      <c r="F13" s="1101"/>
      <c r="G13" s="535"/>
      <c r="H13" s="509" t="s">
        <v>467</v>
      </c>
      <c r="I13" s="720" t="str">
        <f>IF(AND($C$6+$C$7=0,$C$8+$C$9=1,$C$10=2),"ДА","НЕТ")</f>
        <v>НЕТ</v>
      </c>
      <c r="J13" s="420"/>
      <c r="K13" s="414">
        <f t="shared" si="0"/>
        <v>0</v>
      </c>
    </row>
    <row r="14" spans="1:11" ht="12" customHeight="1" thickBot="1">
      <c r="A14" s="501"/>
      <c r="B14" s="787" t="s">
        <v>582</v>
      </c>
      <c r="C14" s="684">
        <v>0</v>
      </c>
      <c r="D14" s="1099" t="s">
        <v>620</v>
      </c>
      <c r="E14" s="1100"/>
      <c r="F14" s="1101"/>
      <c r="G14" s="535"/>
      <c r="H14" s="512" t="s">
        <v>468</v>
      </c>
      <c r="I14" s="720" t="str">
        <f>IF(AND($C$6+$C$7=0,$C$8+$C$9=1,$C$10=2),"ДА","НЕТ")</f>
        <v>НЕТ</v>
      </c>
      <c r="J14" s="420"/>
      <c r="K14" s="414">
        <f t="shared" si="0"/>
        <v>0</v>
      </c>
    </row>
    <row r="15" spans="1:11" ht="12" customHeight="1" thickBot="1">
      <c r="A15" s="501"/>
      <c r="B15" s="515" t="s">
        <v>476</v>
      </c>
      <c r="C15" s="558">
        <v>0</v>
      </c>
      <c r="D15" s="516" t="s">
        <v>365</v>
      </c>
      <c r="E15" s="721" t="s">
        <v>327</v>
      </c>
      <c r="F15" s="1068" t="s">
        <v>677</v>
      </c>
      <c r="G15" s="535"/>
      <c r="H15" s="533" t="s">
        <v>469</v>
      </c>
      <c r="I15" s="730" t="str">
        <f>IF(AND($C$6+$C$7=0,$C$8+$C$9=1,$C$10=2),"ДА","НЕТ")</f>
        <v>НЕТ</v>
      </c>
      <c r="J15" s="427"/>
      <c r="K15" s="571">
        <f t="shared" si="0"/>
        <v>0</v>
      </c>
    </row>
    <row r="16" spans="1:11" ht="12" customHeight="1" thickBot="1">
      <c r="A16" s="501"/>
      <c r="B16" s="508" t="s">
        <v>477</v>
      </c>
      <c r="C16" s="559">
        <v>0</v>
      </c>
      <c r="D16" s="523" t="s">
        <v>365</v>
      </c>
      <c r="E16" s="816" t="s">
        <v>327</v>
      </c>
      <c r="F16" s="1069"/>
      <c r="G16" s="535"/>
      <c r="H16" s="535"/>
      <c r="I16" s="535"/>
      <c r="J16" s="535"/>
      <c r="K16" s="535"/>
    </row>
    <row r="17" spans="1:11" ht="12" customHeight="1">
      <c r="A17" s="501"/>
      <c r="B17" s="503" t="s">
        <v>205</v>
      </c>
      <c r="C17" s="560">
        <v>0</v>
      </c>
      <c r="D17" s="1058" t="s">
        <v>766</v>
      </c>
      <c r="E17" s="1059"/>
      <c r="F17" s="1060"/>
      <c r="G17" s="535"/>
      <c r="H17" s="535"/>
      <c r="I17" s="535"/>
      <c r="J17" s="535"/>
      <c r="K17" s="535"/>
    </row>
    <row r="18" spans="1:11" ht="12" customHeight="1" thickBot="1">
      <c r="A18" s="501"/>
      <c r="B18" s="508" t="s">
        <v>204</v>
      </c>
      <c r="C18" s="559">
        <v>0</v>
      </c>
      <c r="D18" s="1064" t="s">
        <v>767</v>
      </c>
      <c r="E18" s="1065"/>
      <c r="F18" s="1066"/>
      <c r="G18" s="535"/>
      <c r="H18" s="535"/>
      <c r="I18" s="535"/>
      <c r="J18" s="535"/>
      <c r="K18" s="535"/>
    </row>
    <row r="19" spans="1:11" ht="12" customHeight="1" thickBot="1">
      <c r="A19" s="501"/>
      <c r="B19" s="735"/>
      <c r="C19" s="735"/>
      <c r="D19" s="735"/>
      <c r="E19" s="735"/>
      <c r="F19" s="535"/>
      <c r="G19" s="535"/>
      <c r="H19" s="535"/>
      <c r="I19" s="535"/>
      <c r="J19" s="535"/>
      <c r="K19" s="535"/>
    </row>
    <row r="20" spans="1:11" ht="12" customHeight="1" thickBot="1">
      <c r="A20" s="501"/>
      <c r="B20" s="590" t="s">
        <v>5</v>
      </c>
      <c r="C20" s="591" t="s">
        <v>0</v>
      </c>
      <c r="D20" s="592" t="s">
        <v>4</v>
      </c>
      <c r="E20" s="593" t="s">
        <v>8</v>
      </c>
      <c r="F20" s="535"/>
      <c r="G20" s="535"/>
      <c r="H20" s="535"/>
      <c r="I20" s="535"/>
      <c r="J20" s="535"/>
      <c r="K20" s="535"/>
    </row>
    <row r="21" spans="1:11" ht="12" customHeight="1">
      <c r="A21" s="501"/>
      <c r="B21" s="547" t="s">
        <v>480</v>
      </c>
      <c r="C21" s="442">
        <f>C2*C13</f>
        <v>0</v>
      </c>
      <c r="D21" s="449"/>
      <c r="E21" s="439">
        <f t="shared" ref="E21:E26" si="1">C21*D21</f>
        <v>0</v>
      </c>
      <c r="F21" s="535"/>
      <c r="G21" s="535"/>
      <c r="H21" s="535"/>
      <c r="I21" s="535"/>
      <c r="J21" s="535"/>
      <c r="K21" s="535"/>
    </row>
    <row r="22" spans="1:11" ht="12" customHeight="1">
      <c r="A22" s="501"/>
      <c r="B22" s="547" t="s">
        <v>481</v>
      </c>
      <c r="C22" s="442">
        <f>IF(C16=1,C2*C13,0)</f>
        <v>0</v>
      </c>
      <c r="D22" s="449"/>
      <c r="E22" s="439">
        <f t="shared" si="1"/>
        <v>0</v>
      </c>
      <c r="F22" s="535"/>
      <c r="G22" s="535"/>
      <c r="H22" s="535"/>
      <c r="I22" s="535"/>
      <c r="J22" s="535"/>
      <c r="K22" s="535"/>
    </row>
    <row r="23" spans="1:11" ht="12" customHeight="1">
      <c r="A23" s="501"/>
      <c r="B23" s="545" t="s">
        <v>478</v>
      </c>
      <c r="C23" s="437">
        <f>IF(AND(C15=1,C16=0),(C4+C5)*C13*2,0)</f>
        <v>0</v>
      </c>
      <c r="D23" s="449"/>
      <c r="E23" s="439">
        <f t="shared" si="1"/>
        <v>0</v>
      </c>
      <c r="F23" s="535"/>
      <c r="G23" s="535"/>
      <c r="H23" s="535"/>
      <c r="I23" s="535"/>
      <c r="J23" s="535"/>
      <c r="K23" s="535"/>
    </row>
    <row r="24" spans="1:11" ht="12" customHeight="1">
      <c r="A24" s="501"/>
      <c r="B24" s="545" t="s">
        <v>479</v>
      </c>
      <c r="C24" s="437">
        <f>IF(AND(C15=0,C16=1),(C4+C5)*C13,0)</f>
        <v>0</v>
      </c>
      <c r="D24" s="449"/>
      <c r="E24" s="439">
        <f t="shared" si="1"/>
        <v>0</v>
      </c>
      <c r="F24" s="535"/>
      <c r="G24" s="535"/>
      <c r="H24" s="535"/>
      <c r="I24" s="535"/>
      <c r="J24" s="535"/>
      <c r="K24" s="535"/>
    </row>
    <row r="25" spans="1:11" ht="12" customHeight="1">
      <c r="A25" s="501"/>
      <c r="B25" s="547" t="s">
        <v>498</v>
      </c>
      <c r="C25" s="442">
        <f>EVEN(ROUNDDOWN(IF(C13&gt;0,(C2/0.5)*C13,0),0))</f>
        <v>0</v>
      </c>
      <c r="D25" s="443"/>
      <c r="E25" s="439">
        <f t="shared" si="1"/>
        <v>0</v>
      </c>
      <c r="F25" s="535"/>
      <c r="G25" s="535"/>
      <c r="H25" s="535"/>
      <c r="I25" s="535"/>
      <c r="J25" s="535"/>
      <c r="K25" s="535"/>
    </row>
    <row r="26" spans="1:11" ht="12" customHeight="1">
      <c r="A26" s="501"/>
      <c r="B26" s="545" t="s">
        <v>501</v>
      </c>
      <c r="C26" s="450">
        <f>C2*C13</f>
        <v>0</v>
      </c>
      <c r="D26" s="443"/>
      <c r="E26" s="439">
        <f t="shared" si="1"/>
        <v>0</v>
      </c>
      <c r="F26" s="535"/>
      <c r="G26" s="535"/>
      <c r="H26" s="535"/>
      <c r="I26" s="535"/>
      <c r="J26" s="535"/>
      <c r="K26" s="535"/>
    </row>
    <row r="27" spans="1:11" ht="12" customHeight="1">
      <c r="A27" s="501"/>
      <c r="B27" s="547" t="s">
        <v>538</v>
      </c>
      <c r="C27" s="442">
        <f>IF(AND(C6+C7&gt;0,C8+C9=0,C11=1,C12=0),C13*2,0)</f>
        <v>0</v>
      </c>
      <c r="D27" s="449"/>
      <c r="E27" s="439">
        <f t="shared" ref="E27:E60" si="2">C27*D27</f>
        <v>0</v>
      </c>
      <c r="F27" s="535"/>
      <c r="G27" s="535"/>
      <c r="H27" s="535"/>
      <c r="I27" s="535"/>
      <c r="J27" s="535"/>
      <c r="K27" s="535"/>
    </row>
    <row r="28" spans="1:11" ht="12" customHeight="1">
      <c r="A28" s="501"/>
      <c r="B28" s="547" t="s">
        <v>539</v>
      </c>
      <c r="C28" s="437">
        <f>IF(AND(C6+C7&gt;0,C8+C9=0,C11=1,C12=1),C13*2,0)</f>
        <v>0</v>
      </c>
      <c r="D28" s="492"/>
      <c r="E28" s="439">
        <f t="shared" si="2"/>
        <v>0</v>
      </c>
      <c r="F28" s="535"/>
      <c r="G28" s="535"/>
      <c r="H28" s="535"/>
      <c r="I28" s="535"/>
      <c r="J28" s="535"/>
      <c r="K28" s="535"/>
    </row>
    <row r="29" spans="1:11" ht="12" customHeight="1">
      <c r="A29" s="501"/>
      <c r="B29" s="547" t="s">
        <v>499</v>
      </c>
      <c r="C29" s="442">
        <f>IF(AND(C6+C7&gt;0,C8+C9=0,C11=0,C12=0),C13*2,0)</f>
        <v>0</v>
      </c>
      <c r="D29" s="449"/>
      <c r="E29" s="439">
        <f t="shared" si="2"/>
        <v>0</v>
      </c>
      <c r="F29" s="535"/>
      <c r="G29" s="535"/>
      <c r="H29" s="535"/>
      <c r="I29" s="535"/>
      <c r="J29" s="535"/>
      <c r="K29" s="535"/>
    </row>
    <row r="30" spans="1:11" ht="12" customHeight="1">
      <c r="A30" s="501"/>
      <c r="B30" s="547" t="s">
        <v>500</v>
      </c>
      <c r="C30" s="445">
        <f>IF(AND(C6+C7&gt;0,C8+C9=0,C11=0,C12=1),C13*2,0)</f>
        <v>0</v>
      </c>
      <c r="D30" s="494"/>
      <c r="E30" s="439">
        <f t="shared" si="2"/>
        <v>0</v>
      </c>
      <c r="F30" s="535"/>
      <c r="G30" s="535"/>
      <c r="H30" s="535"/>
      <c r="I30" s="535"/>
      <c r="J30" s="535"/>
      <c r="K30" s="535"/>
    </row>
    <row r="31" spans="1:11" ht="12" customHeight="1">
      <c r="A31" s="501"/>
      <c r="B31" s="547" t="s">
        <v>538</v>
      </c>
      <c r="C31" s="442">
        <f>IF(AND(C6+C7=0,C8+C9&gt;0,C11=1,C12=0),C13,0)</f>
        <v>0</v>
      </c>
      <c r="D31" s="449"/>
      <c r="E31" s="439">
        <f t="shared" si="2"/>
        <v>0</v>
      </c>
      <c r="F31" s="535"/>
      <c r="G31" s="535"/>
      <c r="H31" s="535"/>
      <c r="I31" s="535"/>
      <c r="J31" s="535"/>
      <c r="K31" s="535"/>
    </row>
    <row r="32" spans="1:11" ht="12" customHeight="1">
      <c r="A32" s="501"/>
      <c r="B32" s="547" t="s">
        <v>539</v>
      </c>
      <c r="C32" s="437">
        <f>IF(AND(C6+C7=0,C8+C9&gt;0,C11=1,C12=1),C13,0)</f>
        <v>0</v>
      </c>
      <c r="D32" s="492"/>
      <c r="E32" s="439">
        <f t="shared" si="2"/>
        <v>0</v>
      </c>
      <c r="F32" s="535"/>
      <c r="G32" s="535"/>
      <c r="H32" s="535"/>
      <c r="I32" s="535"/>
      <c r="J32" s="535"/>
      <c r="K32" s="535"/>
    </row>
    <row r="33" spans="1:11" ht="12" customHeight="1">
      <c r="A33" s="501"/>
      <c r="B33" s="547" t="s">
        <v>499</v>
      </c>
      <c r="C33" s="442">
        <f>IF(AND(C6+C7=0,C8+C9&gt;0,C11=0,C12=0),C13,0)</f>
        <v>0</v>
      </c>
      <c r="D33" s="449"/>
      <c r="E33" s="439">
        <f t="shared" si="2"/>
        <v>0</v>
      </c>
      <c r="F33" s="535"/>
      <c r="G33" s="535"/>
      <c r="H33" s="535"/>
      <c r="I33" s="535"/>
      <c r="J33" s="535"/>
      <c r="K33" s="535"/>
    </row>
    <row r="34" spans="1:11" ht="12" customHeight="1">
      <c r="A34" s="501"/>
      <c r="B34" s="547" t="s">
        <v>500</v>
      </c>
      <c r="C34" s="445">
        <f>IF(AND(C6+C7=0,C8+C9&gt;0,C11=0,C12=1),C13,0)</f>
        <v>0</v>
      </c>
      <c r="D34" s="494"/>
      <c r="E34" s="439">
        <f t="shared" si="2"/>
        <v>0</v>
      </c>
      <c r="F34" s="535"/>
      <c r="G34" s="535"/>
      <c r="H34" s="535"/>
      <c r="I34" s="535"/>
      <c r="J34" s="535"/>
      <c r="K34" s="535"/>
    </row>
    <row r="35" spans="1:11" ht="12" customHeight="1">
      <c r="A35" s="501"/>
      <c r="B35" s="547" t="s">
        <v>593</v>
      </c>
      <c r="C35" s="442">
        <f>IF(AND(C6+C7&gt;0,C8+C9=0,C12=0),(((C4+C5)-1)+C14)*C13,0)</f>
        <v>0</v>
      </c>
      <c r="D35" s="449"/>
      <c r="E35" s="439">
        <f t="shared" si="2"/>
        <v>0</v>
      </c>
      <c r="F35" s="535"/>
      <c r="G35" s="535"/>
      <c r="H35" s="535"/>
      <c r="I35" s="535"/>
      <c r="J35" s="535"/>
      <c r="K35" s="535"/>
    </row>
    <row r="36" spans="1:11" ht="12" customHeight="1">
      <c r="A36" s="501"/>
      <c r="B36" s="547" t="s">
        <v>592</v>
      </c>
      <c r="C36" s="445">
        <f>IF(AND(C6+C7&gt;0,C8+C9=0,C12=1),(((C4+C5)-1)+C14)*C13,0)</f>
        <v>0</v>
      </c>
      <c r="D36" s="494"/>
      <c r="E36" s="439">
        <f t="shared" si="2"/>
        <v>0</v>
      </c>
      <c r="F36" s="535"/>
      <c r="G36" s="535"/>
      <c r="H36" s="535"/>
      <c r="I36" s="535"/>
      <c r="J36" s="535"/>
      <c r="K36" s="535"/>
    </row>
    <row r="37" spans="1:11" ht="12" customHeight="1">
      <c r="A37" s="501"/>
      <c r="B37" s="547" t="s">
        <v>593</v>
      </c>
      <c r="C37" s="442">
        <f>IF(AND(C6+C7=0,C8+C9&gt;0,C12=0),((C4+C5)+C14)*C13,0)</f>
        <v>0</v>
      </c>
      <c r="D37" s="449"/>
      <c r="E37" s="439">
        <f t="shared" si="2"/>
        <v>0</v>
      </c>
      <c r="F37" s="535"/>
      <c r="G37" s="535"/>
      <c r="H37" s="535"/>
      <c r="I37" s="535"/>
      <c r="J37" s="535"/>
      <c r="K37" s="535"/>
    </row>
    <row r="38" spans="1:11" ht="12" customHeight="1">
      <c r="A38" s="501"/>
      <c r="B38" s="547" t="s">
        <v>592</v>
      </c>
      <c r="C38" s="445">
        <f>IF(AND(C6+C7=0,C8+C9&gt;0,C12=1),((C4+C5)+C14)*C13,0)</f>
        <v>0</v>
      </c>
      <c r="D38" s="494"/>
      <c r="E38" s="439">
        <f t="shared" si="2"/>
        <v>0</v>
      </c>
      <c r="F38" s="535"/>
      <c r="G38" s="535"/>
      <c r="H38" s="535"/>
      <c r="I38" s="535"/>
      <c r="J38" s="535"/>
      <c r="K38" s="535"/>
    </row>
    <row r="39" spans="1:11" ht="12" customHeight="1">
      <c r="A39" s="501"/>
      <c r="B39" s="545" t="s">
        <v>760</v>
      </c>
      <c r="C39" s="445">
        <f>C13*2</f>
        <v>0</v>
      </c>
      <c r="D39" s="494"/>
      <c r="E39" s="439">
        <f t="shared" si="2"/>
        <v>0</v>
      </c>
      <c r="F39" s="535"/>
      <c r="G39" s="535"/>
      <c r="H39" s="535"/>
      <c r="I39" s="535"/>
      <c r="J39" s="535"/>
      <c r="K39" s="535"/>
    </row>
    <row r="40" spans="1:11" ht="12" customHeight="1">
      <c r="A40" s="501"/>
      <c r="B40" s="547" t="s">
        <v>594</v>
      </c>
      <c r="C40" s="442">
        <f>((C4+C5)-1)*C13</f>
        <v>0</v>
      </c>
      <c r="D40" s="449"/>
      <c r="E40" s="439">
        <f t="shared" si="2"/>
        <v>0</v>
      </c>
      <c r="F40" s="535"/>
      <c r="G40" s="535"/>
      <c r="H40" s="535"/>
      <c r="I40" s="535"/>
      <c r="J40" s="535"/>
      <c r="K40" s="535"/>
    </row>
    <row r="41" spans="1:11" ht="12" customHeight="1">
      <c r="A41" s="501"/>
      <c r="B41" s="776" t="s">
        <v>503</v>
      </c>
      <c r="C41" s="495">
        <f>((C4+C5)+1+C14)*C13*2</f>
        <v>0</v>
      </c>
      <c r="D41" s="352"/>
      <c r="E41" s="362">
        <v>0</v>
      </c>
      <c r="F41" s="535"/>
      <c r="G41" s="535"/>
      <c r="H41" s="535"/>
      <c r="I41" s="535"/>
      <c r="J41" s="535"/>
      <c r="K41" s="535"/>
    </row>
    <row r="42" spans="1:11" ht="12" customHeight="1">
      <c r="A42" s="501"/>
      <c r="B42" s="548" t="s">
        <v>586</v>
      </c>
      <c r="C42" s="495">
        <f>((C4+C5)-1+C14)*C13</f>
        <v>0</v>
      </c>
      <c r="D42" s="449"/>
      <c r="E42" s="496">
        <f t="shared" si="2"/>
        <v>0</v>
      </c>
      <c r="F42" s="535"/>
      <c r="G42" s="535"/>
      <c r="H42" s="535"/>
      <c r="I42" s="535"/>
      <c r="J42" s="535"/>
      <c r="K42" s="535"/>
    </row>
    <row r="43" spans="1:11" ht="12" customHeight="1">
      <c r="A43" s="501"/>
      <c r="B43" s="548" t="s">
        <v>761</v>
      </c>
      <c r="C43" s="495">
        <f>((C4+C5)+1+C14)*C13</f>
        <v>0</v>
      </c>
      <c r="D43" s="449"/>
      <c r="E43" s="496">
        <f>C43*D43</f>
        <v>0</v>
      </c>
      <c r="F43" s="535"/>
      <c r="G43" s="535"/>
      <c r="H43" s="535"/>
      <c r="I43" s="535"/>
      <c r="J43" s="535"/>
      <c r="K43" s="535"/>
    </row>
    <row r="44" spans="1:11" ht="12" customHeight="1">
      <c r="A44" s="501"/>
      <c r="B44" s="548" t="s">
        <v>762</v>
      </c>
      <c r="C44" s="495">
        <f>((C4+C5)-1)*C13</f>
        <v>0</v>
      </c>
      <c r="D44" s="449"/>
      <c r="E44" s="496">
        <f>C44*D44</f>
        <v>0</v>
      </c>
      <c r="F44" s="535"/>
      <c r="G44" s="535"/>
      <c r="H44" s="535"/>
      <c r="I44" s="535"/>
      <c r="J44" s="535"/>
      <c r="K44" s="535"/>
    </row>
    <row r="45" spans="1:11" ht="12" customHeight="1">
      <c r="A45" s="501"/>
      <c r="B45" s="548" t="s">
        <v>595</v>
      </c>
      <c r="C45" s="495">
        <f>((C4+C5)-1+C14)*C13</f>
        <v>0</v>
      </c>
      <c r="D45" s="449"/>
      <c r="E45" s="496">
        <f t="shared" si="2"/>
        <v>0</v>
      </c>
      <c r="F45" s="535"/>
      <c r="G45" s="535"/>
      <c r="H45" s="535"/>
      <c r="I45" s="535"/>
      <c r="J45" s="535"/>
      <c r="K45" s="535"/>
    </row>
    <row r="46" spans="1:11" ht="12" customHeight="1">
      <c r="A46" s="501"/>
      <c r="B46" s="548" t="s">
        <v>588</v>
      </c>
      <c r="C46" s="495">
        <f>C14*C13</f>
        <v>0</v>
      </c>
      <c r="D46" s="449"/>
      <c r="E46" s="496">
        <f t="shared" si="2"/>
        <v>0</v>
      </c>
      <c r="F46" s="535"/>
      <c r="G46" s="535"/>
      <c r="H46" s="535"/>
      <c r="I46" s="535"/>
      <c r="J46" s="535"/>
      <c r="K46" s="535"/>
    </row>
    <row r="47" spans="1:11" ht="12" customHeight="1">
      <c r="A47" s="501"/>
      <c r="B47" s="547" t="s">
        <v>585</v>
      </c>
      <c r="C47" s="442">
        <f>((C4+C5)-1)*C13</f>
        <v>0</v>
      </c>
      <c r="D47" s="449"/>
      <c r="E47" s="439">
        <f t="shared" si="2"/>
        <v>0</v>
      </c>
      <c r="F47" s="535"/>
      <c r="G47" s="535"/>
      <c r="H47" s="535"/>
      <c r="I47" s="535"/>
      <c r="J47" s="535"/>
      <c r="K47" s="535"/>
    </row>
    <row r="48" spans="1:11" ht="12" customHeight="1">
      <c r="A48" s="501"/>
      <c r="B48" s="547" t="s">
        <v>511</v>
      </c>
      <c r="C48" s="437">
        <f>IF(C5=0,(C40+C47+C54)*C13,0)</f>
        <v>0</v>
      </c>
      <c r="D48" s="492"/>
      <c r="E48" s="439">
        <f t="shared" si="2"/>
        <v>0</v>
      </c>
      <c r="F48" s="535"/>
      <c r="G48" s="535"/>
      <c r="H48" s="535"/>
      <c r="I48" s="535"/>
      <c r="J48" s="535"/>
      <c r="K48" s="535"/>
    </row>
    <row r="49" spans="1:11" ht="12" customHeight="1">
      <c r="A49" s="501"/>
      <c r="B49" s="547" t="s">
        <v>512</v>
      </c>
      <c r="C49" s="442">
        <f>IF(C5=0,(C40+C47+C54)*C13,0)</f>
        <v>0</v>
      </c>
      <c r="D49" s="449"/>
      <c r="E49" s="439">
        <f t="shared" si="2"/>
        <v>0</v>
      </c>
      <c r="F49" s="535"/>
      <c r="G49" s="535"/>
      <c r="H49" s="535"/>
      <c r="I49" s="535"/>
      <c r="J49" s="535"/>
      <c r="K49" s="535"/>
    </row>
    <row r="50" spans="1:11" ht="12" customHeight="1">
      <c r="A50" s="501"/>
      <c r="B50" s="547" t="s">
        <v>513</v>
      </c>
      <c r="C50" s="442">
        <f>IF(C4=0,(C40+C47+C54)*C13,0)</f>
        <v>0</v>
      </c>
      <c r="D50" s="449"/>
      <c r="E50" s="439">
        <f t="shared" si="2"/>
        <v>0</v>
      </c>
      <c r="F50" s="535"/>
      <c r="G50" s="535"/>
      <c r="H50" s="535"/>
      <c r="I50" s="535"/>
      <c r="J50" s="535"/>
      <c r="K50" s="535"/>
    </row>
    <row r="51" spans="1:11" ht="12" customHeight="1">
      <c r="A51" s="501"/>
      <c r="B51" s="545" t="s">
        <v>553</v>
      </c>
      <c r="C51" s="442">
        <f>C2*C13*2</f>
        <v>0</v>
      </c>
      <c r="D51" s="449"/>
      <c r="E51" s="439">
        <f t="shared" si="2"/>
        <v>0</v>
      </c>
      <c r="F51" s="535"/>
      <c r="G51" s="535"/>
      <c r="H51" s="535"/>
      <c r="I51" s="535"/>
      <c r="J51" s="535"/>
      <c r="K51" s="535"/>
    </row>
    <row r="52" spans="1:11" ht="12" customHeight="1">
      <c r="A52" s="501"/>
      <c r="B52" s="545" t="s">
        <v>540</v>
      </c>
      <c r="C52" s="450">
        <f>IF(AND(C4&gt;0,C5=0),C2*C13,0)</f>
        <v>0</v>
      </c>
      <c r="D52" s="449"/>
      <c r="E52" s="439">
        <f t="shared" si="2"/>
        <v>0</v>
      </c>
      <c r="F52" s="535"/>
      <c r="G52" s="535"/>
      <c r="H52" s="535"/>
      <c r="I52" s="535"/>
      <c r="J52" s="535"/>
      <c r="K52" s="535"/>
    </row>
    <row r="53" spans="1:11" ht="12" customHeight="1">
      <c r="A53" s="501"/>
      <c r="B53" s="545" t="s">
        <v>541</v>
      </c>
      <c r="C53" s="450">
        <f>IF(AND(C5&gt;0,C4=0),C2*C13,0)</f>
        <v>0</v>
      </c>
      <c r="D53" s="449"/>
      <c r="E53" s="439">
        <f t="shared" si="2"/>
        <v>0</v>
      </c>
      <c r="F53" s="535"/>
      <c r="G53" s="535"/>
      <c r="H53" s="535"/>
      <c r="I53" s="535"/>
      <c r="J53" s="535"/>
      <c r="K53" s="535"/>
    </row>
    <row r="54" spans="1:11" ht="12" customHeight="1">
      <c r="A54" s="501"/>
      <c r="B54" s="547" t="s">
        <v>502</v>
      </c>
      <c r="C54" s="450">
        <f>C13</f>
        <v>0</v>
      </c>
      <c r="D54" s="449"/>
      <c r="E54" s="439">
        <f t="shared" si="2"/>
        <v>0</v>
      </c>
      <c r="F54" s="535"/>
      <c r="G54" s="535"/>
      <c r="H54" s="535"/>
      <c r="I54" s="535"/>
      <c r="J54" s="535"/>
      <c r="K54" s="535"/>
    </row>
    <row r="55" spans="1:11" ht="12" customHeight="1">
      <c r="A55" s="501"/>
      <c r="B55" s="548" t="s">
        <v>456</v>
      </c>
      <c r="C55" s="450">
        <f>C6*C13</f>
        <v>0</v>
      </c>
      <c r="D55" s="449"/>
      <c r="E55" s="439">
        <f t="shared" si="2"/>
        <v>0</v>
      </c>
      <c r="F55" s="535"/>
      <c r="G55" s="535"/>
      <c r="H55" s="535"/>
      <c r="I55" s="535"/>
      <c r="J55" s="535"/>
      <c r="K55" s="535"/>
    </row>
    <row r="56" spans="1:11" ht="12" customHeight="1">
      <c r="A56" s="501"/>
      <c r="B56" s="548" t="s">
        <v>678</v>
      </c>
      <c r="C56" s="450">
        <f>C8*C13</f>
        <v>0</v>
      </c>
      <c r="D56" s="449"/>
      <c r="E56" s="439">
        <f t="shared" si="2"/>
        <v>0</v>
      </c>
      <c r="F56" s="535"/>
      <c r="G56" s="535"/>
      <c r="H56" s="535"/>
      <c r="I56" s="535"/>
      <c r="J56" s="535"/>
      <c r="K56" s="535"/>
    </row>
    <row r="57" spans="1:11" ht="12" customHeight="1">
      <c r="A57" s="501"/>
      <c r="B57" s="548" t="s">
        <v>515</v>
      </c>
      <c r="C57" s="450">
        <f>C7*C13</f>
        <v>0</v>
      </c>
      <c r="D57" s="449"/>
      <c r="E57" s="439">
        <f t="shared" si="2"/>
        <v>0</v>
      </c>
      <c r="F57" s="535"/>
      <c r="G57" s="535"/>
      <c r="H57" s="535"/>
      <c r="I57" s="535"/>
      <c r="J57" s="535"/>
      <c r="K57" s="535"/>
    </row>
    <row r="58" spans="1:11" ht="12" customHeight="1">
      <c r="A58" s="501"/>
      <c r="B58" s="621" t="s">
        <v>203</v>
      </c>
      <c r="C58" s="602">
        <f>C18</f>
        <v>0</v>
      </c>
      <c r="D58" s="618"/>
      <c r="E58" s="496">
        <f t="shared" si="2"/>
        <v>0</v>
      </c>
      <c r="F58" s="535"/>
      <c r="G58" s="535"/>
      <c r="H58" s="535"/>
      <c r="I58" s="535"/>
      <c r="J58" s="535"/>
      <c r="K58" s="535"/>
    </row>
    <row r="59" spans="1:11" ht="12" customHeight="1">
      <c r="A59" s="501"/>
      <c r="B59" s="621" t="s">
        <v>206</v>
      </c>
      <c r="C59" s="602">
        <f>C17</f>
        <v>0</v>
      </c>
      <c r="D59" s="618"/>
      <c r="E59" s="496">
        <f t="shared" si="2"/>
        <v>0</v>
      </c>
      <c r="F59" s="535"/>
      <c r="G59" s="535"/>
      <c r="H59" s="535"/>
      <c r="I59" s="535"/>
      <c r="J59" s="535"/>
      <c r="K59" s="535"/>
    </row>
    <row r="60" spans="1:11" ht="12" customHeight="1" thickBot="1">
      <c r="A60" s="501"/>
      <c r="B60" s="550" t="s">
        <v>679</v>
      </c>
      <c r="C60" s="498">
        <f>C9*C13</f>
        <v>0</v>
      </c>
      <c r="D60" s="569"/>
      <c r="E60" s="500">
        <f t="shared" si="2"/>
        <v>0</v>
      </c>
      <c r="F60" s="535"/>
      <c r="G60" s="535"/>
      <c r="H60" s="535"/>
      <c r="I60" s="535"/>
      <c r="J60" s="535"/>
      <c r="K60" s="535"/>
    </row>
    <row r="61" spans="1:11" ht="12" customHeight="1" thickBot="1">
      <c r="A61" s="501"/>
      <c r="B61" s="535"/>
      <c r="C61" s="535"/>
      <c r="D61" s="551" t="s">
        <v>9</v>
      </c>
      <c r="E61" s="623">
        <f>SUMIF(E21:E60,"&gt;0",E21:E60)</f>
        <v>0</v>
      </c>
      <c r="F61" s="535"/>
      <c r="G61" s="535"/>
      <c r="H61" s="535"/>
      <c r="I61" s="535"/>
      <c r="J61" s="535"/>
      <c r="K61" s="535"/>
    </row>
    <row r="62" spans="1:11">
      <c r="A62" s="501"/>
      <c r="B62" s="535"/>
      <c r="C62" s="535"/>
      <c r="D62" s="535"/>
      <c r="E62" s="535"/>
      <c r="F62" s="535"/>
      <c r="G62" s="535"/>
      <c r="H62" s="535"/>
      <c r="I62" s="535"/>
      <c r="J62" s="535"/>
      <c r="K62" s="535"/>
    </row>
    <row r="63" spans="1:11">
      <c r="A63" s="501"/>
      <c r="B63" s="501"/>
      <c r="C63" s="501"/>
      <c r="D63" s="501"/>
      <c r="E63" s="501"/>
      <c r="F63" s="501"/>
      <c r="G63" s="501"/>
      <c r="H63" s="501"/>
      <c r="I63" s="501"/>
      <c r="J63" s="501"/>
      <c r="K63" s="501"/>
    </row>
    <row r="64" spans="1:11" ht="11.25" customHeight="1">
      <c r="A64" s="501"/>
      <c r="B64" s="501"/>
      <c r="C64" s="501"/>
      <c r="D64" s="501"/>
      <c r="E64" s="501"/>
      <c r="F64" s="501"/>
      <c r="G64" s="501"/>
      <c r="H64" s="501"/>
      <c r="I64" s="501"/>
      <c r="J64" s="501"/>
      <c r="K64" s="501"/>
    </row>
    <row r="65" spans="1:11">
      <c r="A65" s="501"/>
      <c r="B65" s="501"/>
      <c r="C65" s="501"/>
      <c r="D65" s="501"/>
      <c r="E65" s="501"/>
      <c r="F65" s="501"/>
      <c r="G65" s="501"/>
      <c r="H65" s="501"/>
      <c r="I65" s="501"/>
      <c r="J65" s="501"/>
      <c r="K65" s="501"/>
    </row>
    <row r="66" spans="1:11">
      <c r="A66" s="501"/>
      <c r="B66" s="501"/>
      <c r="C66" s="501"/>
      <c r="D66" s="501"/>
      <c r="E66" s="501"/>
      <c r="F66" s="501"/>
      <c r="G66" s="501"/>
      <c r="H66" s="501"/>
      <c r="I66" s="501"/>
      <c r="J66" s="501"/>
      <c r="K66" s="501"/>
    </row>
    <row r="67" spans="1:11">
      <c r="A67" s="501"/>
      <c r="B67" s="501"/>
      <c r="C67" s="501"/>
      <c r="D67" s="501"/>
      <c r="E67" s="501"/>
      <c r="F67" s="501"/>
      <c r="G67" s="501"/>
      <c r="H67" s="501"/>
      <c r="I67" s="501"/>
      <c r="J67" s="501"/>
      <c r="K67" s="501"/>
    </row>
    <row r="69" spans="1:11" ht="11.25" customHeight="1"/>
  </sheetData>
  <sheetProtection algorithmName="SHA-512" hashValue="6Sa4zKWC7VQgncV0d5b45aGx8+42PPpVQ6ig7WJbb9MIRvguorcJd3zgZg/mVkpdRHYKtfeHyzyxUKX/LDK9Bw==" saltValue="RxD4W0cS4YCzq9S3ztysaw==" spinCount="100000" sheet="1"/>
  <mergeCells count="10">
    <mergeCell ref="D17:F17"/>
    <mergeCell ref="D18:F18"/>
    <mergeCell ref="B1:E1"/>
    <mergeCell ref="D2:F3"/>
    <mergeCell ref="D4:F5"/>
    <mergeCell ref="F6:F9"/>
    <mergeCell ref="F15:F16"/>
    <mergeCell ref="D13:F13"/>
    <mergeCell ref="D14:F14"/>
    <mergeCell ref="F11:F12"/>
  </mergeCells>
  <conditionalFormatting sqref="C2:C3">
    <cfRule type="cellIs" dxfId="156" priority="43" operator="greaterThan">
      <formula>0</formula>
    </cfRule>
  </conditionalFormatting>
  <conditionalFormatting sqref="C2:C3">
    <cfRule type="cellIs" dxfId="155" priority="45" operator="greaterThan">
      <formula>0</formula>
    </cfRule>
  </conditionalFormatting>
  <conditionalFormatting sqref="C2:C3">
    <cfRule type="cellIs" dxfId="154" priority="44" operator="greaterThan">
      <formula>0</formula>
    </cfRule>
  </conditionalFormatting>
  <conditionalFormatting sqref="C10">
    <cfRule type="cellIs" dxfId="153" priority="42" operator="greaterThan">
      <formula>0</formula>
    </cfRule>
  </conditionalFormatting>
  <conditionalFormatting sqref="C10">
    <cfRule type="cellIs" dxfId="152" priority="41" operator="greaterThan">
      <formula>0</formula>
    </cfRule>
  </conditionalFormatting>
  <conditionalFormatting sqref="C10">
    <cfRule type="cellIs" dxfId="151" priority="40" operator="greaterThan">
      <formula>0</formula>
    </cfRule>
  </conditionalFormatting>
  <conditionalFormatting sqref="C10">
    <cfRule type="cellIs" dxfId="150" priority="39" operator="greaterThan">
      <formula>0</formula>
    </cfRule>
  </conditionalFormatting>
  <conditionalFormatting sqref="J3:J15">
    <cfRule type="cellIs" dxfId="149" priority="16" operator="greaterThan">
      <formula>0</formula>
    </cfRule>
    <cfRule type="cellIs" dxfId="148" priority="17" operator="greaterThan">
      <formula>0</formula>
    </cfRule>
  </conditionalFormatting>
  <conditionalFormatting sqref="H10:H12">
    <cfRule type="iconSet" priority="37">
      <iconSet iconSet="3Symbols">
        <cfvo type="percent" val="0"/>
        <cfvo type="percent" val="33"/>
        <cfvo type="percent" val="67"/>
      </iconSet>
    </cfRule>
    <cfRule type="expression" priority="38">
      <formula>"H71=1"</formula>
    </cfRule>
  </conditionalFormatting>
  <conditionalFormatting sqref="H10">
    <cfRule type="iconSet" priority="36">
      <iconSet iconSet="3Symbols">
        <cfvo type="percent" val="0"/>
        <cfvo type="percent" val="33"/>
        <cfvo type="percent" val="67"/>
      </iconSet>
    </cfRule>
  </conditionalFormatting>
  <conditionalFormatting sqref="I3:I4 I6:I8 I10:I15">
    <cfRule type="cellIs" dxfId="147" priority="33" operator="equal">
      <formula>"ДА"</formula>
    </cfRule>
    <cfRule type="cellIs" dxfId="146" priority="34" operator="equal">
      <formula>"НЕТ"</formula>
    </cfRule>
  </conditionalFormatting>
  <conditionalFormatting sqref="I3:I4 I6:I8">
    <cfRule type="colorScale" priority="3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145" priority="30" operator="equal">
      <formula>"ДА"</formula>
    </cfRule>
    <cfRule type="cellIs" dxfId="144" priority="31" operator="equal">
      <formula>"НЕТ"</formula>
    </cfRule>
  </conditionalFormatting>
  <conditionalFormatting sqref="I5">
    <cfRule type="cellIs" dxfId="143" priority="27" operator="equal">
      <formula>"ДА"</formula>
    </cfRule>
    <cfRule type="cellIs" dxfId="142" priority="28" operator="equal">
      <formula>"НЕТ"</formula>
    </cfRule>
  </conditionalFormatting>
  <conditionalFormatting sqref="I9">
    <cfRule type="colorScale" priority="3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141" priority="23" operator="equal">
      <formula>"ДА"</formula>
    </cfRule>
    <cfRule type="cellIs" dxfId="140" priority="24" operator="equal">
      <formula>"НЕТ"</formula>
    </cfRule>
  </conditionalFormatting>
  <conditionalFormatting sqref="I5">
    <cfRule type="colorScale" priority="29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25">
      <iconSet iconSet="3Symbols">
        <cfvo type="percent" val="0"/>
        <cfvo type="percent" val="33"/>
        <cfvo type="percent" val="67"/>
      </iconSet>
    </cfRule>
    <cfRule type="expression" priority="26">
      <formula>"H71=1"</formula>
    </cfRule>
  </conditionalFormatting>
  <conditionalFormatting sqref="I14">
    <cfRule type="cellIs" dxfId="139" priority="19" operator="equal">
      <formula>"ДА"</formula>
    </cfRule>
    <cfRule type="cellIs" dxfId="138" priority="20" operator="equal">
      <formula>"НЕТ"</formula>
    </cfRule>
  </conditionalFormatting>
  <conditionalFormatting sqref="H14">
    <cfRule type="iconSet" priority="21">
      <iconSet iconSet="3Symbols">
        <cfvo type="percent" val="0"/>
        <cfvo type="percent" val="33"/>
        <cfvo type="percent" val="67"/>
      </iconSet>
    </cfRule>
    <cfRule type="expression" priority="22">
      <formula>"H71=1"</formula>
    </cfRule>
  </conditionalFormatting>
  <conditionalFormatting sqref="K3:K15">
    <cfRule type="cellIs" dxfId="137" priority="18" operator="greaterThan">
      <formula>0</formula>
    </cfRule>
  </conditionalFormatting>
  <conditionalFormatting sqref="C2:C16">
    <cfRule type="cellIs" dxfId="136" priority="15" operator="greaterThan">
      <formula>0</formula>
    </cfRule>
  </conditionalFormatting>
  <conditionalFormatting sqref="C42:E42 C45:E57 C60:E60">
    <cfRule type="cellIs" dxfId="135" priority="14" operator="greaterThan">
      <formula>0</formula>
    </cfRule>
  </conditionalFormatting>
  <conditionalFormatting sqref="E61">
    <cfRule type="cellIs" dxfId="134" priority="13" operator="greaterThan">
      <formula>0</formula>
    </cfRule>
  </conditionalFormatting>
  <conditionalFormatting sqref="J3:K15">
    <cfRule type="cellIs" dxfId="133" priority="12" operator="greaterThan">
      <formula>0</formula>
    </cfRule>
  </conditionalFormatting>
  <conditionalFormatting sqref="C21:C40">
    <cfRule type="cellIs" dxfId="132" priority="11" operator="greaterThan">
      <formula>4</formula>
    </cfRule>
  </conditionalFormatting>
  <conditionalFormatting sqref="C21:C40 C45:C57 C42 C60">
    <cfRule type="cellIs" dxfId="131" priority="10" operator="greaterThan">
      <formula>0</formula>
    </cfRule>
  </conditionalFormatting>
  <conditionalFormatting sqref="C43">
    <cfRule type="cellIs" dxfId="130" priority="8" operator="greaterThan">
      <formula>0</formula>
    </cfRule>
  </conditionalFormatting>
  <conditionalFormatting sqref="C44">
    <cfRule type="cellIs" dxfId="129" priority="6" operator="greaterThan">
      <formula>0</formula>
    </cfRule>
  </conditionalFormatting>
  <conditionalFormatting sqref="C43:E43">
    <cfRule type="cellIs" dxfId="128" priority="9" operator="greaterThan">
      <formula>0</formula>
    </cfRule>
  </conditionalFormatting>
  <conditionalFormatting sqref="C41">
    <cfRule type="cellIs" dxfId="127" priority="3" operator="greaterThan">
      <formula>0</formula>
    </cfRule>
  </conditionalFormatting>
  <conditionalFormatting sqref="C44:E44">
    <cfRule type="cellIs" dxfId="126" priority="7" operator="greaterThan">
      <formula>0</formula>
    </cfRule>
  </conditionalFormatting>
  <conditionalFormatting sqref="D41:E41">
    <cfRule type="cellIs" dxfId="125" priority="5" operator="greaterThan">
      <formula>0</formula>
    </cfRule>
  </conditionalFormatting>
  <conditionalFormatting sqref="C41">
    <cfRule type="cellIs" dxfId="124" priority="4" operator="greaterThan">
      <formula>0</formula>
    </cfRule>
  </conditionalFormatting>
  <conditionalFormatting sqref="C17:C18">
    <cfRule type="cellIs" dxfId="123" priority="2" operator="greaterThan">
      <formula>0</formula>
    </cfRule>
  </conditionalFormatting>
  <conditionalFormatting sqref="C58:E59">
    <cfRule type="cellIs" dxfId="12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L70"/>
  <sheetViews>
    <sheetView workbookViewId="0">
      <pane ySplit="26" topLeftCell="A45" activePane="bottomLeft" state="frozen"/>
      <selection pane="bottomLeft" activeCell="H51" sqref="H51"/>
    </sheetView>
  </sheetViews>
  <sheetFormatPr defaultRowHeight="11.25"/>
  <cols>
    <col min="1" max="1" width="5.6640625" customWidth="1"/>
    <col min="2" max="2" width="62.6640625" customWidth="1"/>
    <col min="4" max="4" width="11.83203125" customWidth="1"/>
    <col min="5" max="5" width="13" customWidth="1"/>
    <col min="6" max="6" width="20.5" customWidth="1"/>
    <col min="7" max="7" width="5" customWidth="1"/>
    <col min="8" max="8" width="47" customWidth="1"/>
    <col min="9" max="9" width="4.6640625" customWidth="1"/>
  </cols>
  <sheetData>
    <row r="1" spans="1:12" ht="60.75" customHeight="1" thickBot="1">
      <c r="A1" s="501"/>
      <c r="B1" s="1125"/>
      <c r="C1" s="1125"/>
      <c r="D1" s="1125"/>
      <c r="E1" s="1125"/>
      <c r="F1" s="501"/>
      <c r="G1" s="501"/>
      <c r="H1" s="501"/>
      <c r="I1" s="501"/>
      <c r="J1" s="501"/>
      <c r="K1" s="501"/>
      <c r="L1" s="501"/>
    </row>
    <row r="2" spans="1:12" ht="12" customHeight="1" thickBot="1">
      <c r="A2" s="501"/>
      <c r="B2" s="503" t="s">
        <v>631</v>
      </c>
      <c r="C2" s="554">
        <v>0</v>
      </c>
      <c r="D2" s="1047" t="s">
        <v>675</v>
      </c>
      <c r="E2" s="1048"/>
      <c r="F2" s="1049"/>
      <c r="G2" s="535"/>
      <c r="H2" s="505" t="s">
        <v>565</v>
      </c>
      <c r="I2" s="784" t="s">
        <v>684</v>
      </c>
      <c r="J2" s="506" t="s">
        <v>4</v>
      </c>
      <c r="K2" s="507" t="s">
        <v>8</v>
      </c>
      <c r="L2" s="501"/>
    </row>
    <row r="3" spans="1:12" ht="12" customHeight="1">
      <c r="A3" s="501"/>
      <c r="B3" s="513" t="s">
        <v>632</v>
      </c>
      <c r="C3" s="647">
        <v>0</v>
      </c>
      <c r="D3" s="1067"/>
      <c r="E3" s="1053"/>
      <c r="F3" s="1054"/>
      <c r="G3" s="793"/>
      <c r="H3" s="509" t="s">
        <v>569</v>
      </c>
      <c r="I3" s="719" t="str">
        <f>IF(AND($C$12+$C$13+$C$14=1,$C$15+$C$16+$C$17=0,C18=1),"ДА","НЕТ")</f>
        <v>НЕТ</v>
      </c>
      <c r="J3" s="706"/>
      <c r="K3" s="414">
        <f>IF(I3="ДА",$C$18*J3,0)</f>
        <v>0</v>
      </c>
      <c r="L3" s="501"/>
    </row>
    <row r="4" spans="1:12" ht="12" customHeight="1">
      <c r="A4" s="501"/>
      <c r="B4" s="515" t="s">
        <v>633</v>
      </c>
      <c r="C4" s="712">
        <v>0</v>
      </c>
      <c r="D4" s="1067"/>
      <c r="E4" s="1053"/>
      <c r="F4" s="1054"/>
      <c r="G4" s="535"/>
      <c r="H4" s="514" t="s">
        <v>566</v>
      </c>
      <c r="I4" s="720" t="str">
        <f>IF(AND($C$12+$C$13+$C$14=1,$C$15+$C$16+$C$17=0,C18=3),"ДА","НЕТ")</f>
        <v>НЕТ</v>
      </c>
      <c r="J4" s="707"/>
      <c r="K4" s="418">
        <f t="shared" ref="K4:K19" si="0">IF(I4="ДА",$C$18*J4,0)</f>
        <v>0</v>
      </c>
      <c r="L4" s="501"/>
    </row>
    <row r="5" spans="1:12" ht="12" customHeight="1" thickBot="1">
      <c r="A5" s="501"/>
      <c r="B5" s="508" t="s">
        <v>634</v>
      </c>
      <c r="C5" s="555">
        <v>0</v>
      </c>
      <c r="D5" s="1050"/>
      <c r="E5" s="1051"/>
      <c r="F5" s="1052"/>
      <c r="G5" s="793"/>
      <c r="H5" s="514" t="s">
        <v>671</v>
      </c>
      <c r="I5" s="720" t="str">
        <f>IF(AND($C$12+$C$13+$C$14=1,$C$15+$C$16+$C$17=0,C18=3),"ДА","НЕТ")</f>
        <v>НЕТ</v>
      </c>
      <c r="J5" s="707"/>
      <c r="K5" s="418">
        <f t="shared" si="0"/>
        <v>0</v>
      </c>
      <c r="L5" s="501"/>
    </row>
    <row r="6" spans="1:12" ht="12" customHeight="1">
      <c r="A6" s="501"/>
      <c r="B6" s="503" t="s">
        <v>492</v>
      </c>
      <c r="C6" s="703">
        <v>0</v>
      </c>
      <c r="D6" s="1047" t="s">
        <v>677</v>
      </c>
      <c r="E6" s="1048"/>
      <c r="F6" s="1049"/>
      <c r="G6" s="535"/>
      <c r="H6" s="514" t="s">
        <v>567</v>
      </c>
      <c r="I6" s="720" t="str">
        <f>IF(AND($C$12+$C$13+$C$14=1,$C$15+$C$16+$C$17=0,C18=2),"ДА","НЕТ")</f>
        <v>НЕТ</v>
      </c>
      <c r="J6" s="707"/>
      <c r="K6" s="418">
        <f t="shared" si="0"/>
        <v>0</v>
      </c>
      <c r="L6" s="501"/>
    </row>
    <row r="7" spans="1:12" ht="12" customHeight="1">
      <c r="A7" s="501"/>
      <c r="B7" s="513" t="s">
        <v>493</v>
      </c>
      <c r="C7" s="713">
        <v>0</v>
      </c>
      <c r="D7" s="1067"/>
      <c r="E7" s="1053"/>
      <c r="F7" s="1054"/>
      <c r="G7" s="535"/>
      <c r="H7" s="514" t="s">
        <v>568</v>
      </c>
      <c r="I7" s="720" t="str">
        <f>IF(AND($C$12+$C$13+$C$14=1,$C$15+$C$16+$C$17=0,C18=2),"ДА","НЕТ")</f>
        <v>НЕТ</v>
      </c>
      <c r="J7" s="707"/>
      <c r="K7" s="418">
        <f t="shared" si="0"/>
        <v>0</v>
      </c>
      <c r="L7" s="501"/>
    </row>
    <row r="8" spans="1:12" ht="12" customHeight="1">
      <c r="A8" s="501"/>
      <c r="B8" s="513" t="s">
        <v>666</v>
      </c>
      <c r="C8" s="713">
        <v>0</v>
      </c>
      <c r="D8" s="1067"/>
      <c r="E8" s="1053"/>
      <c r="F8" s="1054"/>
      <c r="G8" s="535"/>
      <c r="H8" s="514" t="s">
        <v>574</v>
      </c>
      <c r="I8" s="720" t="str">
        <f>IF(AND($C$12+$C$13+$C$14=1,$C$15+$C$16+$C$17=0,C18=2),"ДА","НЕТ")</f>
        <v>НЕТ</v>
      </c>
      <c r="J8" s="707"/>
      <c r="K8" s="418">
        <f t="shared" si="0"/>
        <v>0</v>
      </c>
      <c r="L8" s="501"/>
    </row>
    <row r="9" spans="1:12" ht="12" customHeight="1">
      <c r="A9" s="501"/>
      <c r="B9" s="515" t="s">
        <v>494</v>
      </c>
      <c r="C9" s="645">
        <v>0</v>
      </c>
      <c r="D9" s="1067"/>
      <c r="E9" s="1053"/>
      <c r="F9" s="1054"/>
      <c r="G9" s="535"/>
      <c r="H9" s="509" t="s">
        <v>670</v>
      </c>
      <c r="I9" s="720" t="str">
        <f>IF(AND($C$12+$C$13+$C$14=1,$C$15+$C$16+$C$17=0,C18=1),"ДА","НЕТ")</f>
        <v>НЕТ</v>
      </c>
      <c r="J9" s="706"/>
      <c r="K9" s="414">
        <f t="shared" si="0"/>
        <v>0</v>
      </c>
      <c r="L9" s="501"/>
    </row>
    <row r="10" spans="1:12" ht="12" customHeight="1">
      <c r="A10" s="501"/>
      <c r="B10" s="513" t="s">
        <v>495</v>
      </c>
      <c r="C10" s="713">
        <v>0</v>
      </c>
      <c r="D10" s="1067"/>
      <c r="E10" s="1053"/>
      <c r="F10" s="1054"/>
      <c r="G10" s="535"/>
      <c r="H10" s="509" t="s">
        <v>462</v>
      </c>
      <c r="I10" s="720" t="str">
        <f>IF(AND($C$12+$C$13+$C$14+$C$17=0,$C$15+$C$16=1,$C$18=1),"ДА","НЕТ")</f>
        <v>НЕТ</v>
      </c>
      <c r="J10" s="708"/>
      <c r="K10" s="421">
        <f t="shared" si="0"/>
        <v>0</v>
      </c>
      <c r="L10" s="501"/>
    </row>
    <row r="11" spans="1:12" ht="12" customHeight="1" thickBot="1">
      <c r="A11" s="501"/>
      <c r="B11" s="536" t="s">
        <v>665</v>
      </c>
      <c r="C11" s="646">
        <v>0</v>
      </c>
      <c r="D11" s="1050"/>
      <c r="E11" s="1051"/>
      <c r="F11" s="1052"/>
      <c r="G11" s="535"/>
      <c r="H11" s="512" t="s">
        <v>463</v>
      </c>
      <c r="I11" s="720" t="str">
        <f>IF(AND($C$12+$C$13+$C$14+$C$17=0,$C$15+$C$16=1,$C$18=1),"ДА","НЕТ")</f>
        <v>НЕТ</v>
      </c>
      <c r="J11" s="708"/>
      <c r="K11" s="421">
        <f t="shared" si="0"/>
        <v>0</v>
      </c>
      <c r="L11" s="501"/>
    </row>
    <row r="12" spans="1:12" ht="12" customHeight="1">
      <c r="A12" s="501"/>
      <c r="B12" s="515" t="s">
        <v>578</v>
      </c>
      <c r="C12" s="558">
        <v>0</v>
      </c>
      <c r="D12" s="518" t="s">
        <v>365</v>
      </c>
      <c r="E12" s="519" t="s">
        <v>327</v>
      </c>
      <c r="F12" s="1056" t="s">
        <v>677</v>
      </c>
      <c r="G12" s="535"/>
      <c r="H12" s="512" t="s">
        <v>464</v>
      </c>
      <c r="I12" s="720" t="str">
        <f>IF(AND($C$12+$C$13+$C$14+$C$17=0,$C$15+$C$16=1,$C$18=1),"ДА","НЕТ")</f>
        <v>НЕТ</v>
      </c>
      <c r="J12" s="709"/>
      <c r="K12" s="421">
        <f t="shared" si="0"/>
        <v>0</v>
      </c>
      <c r="L12" s="501"/>
    </row>
    <row r="13" spans="1:12" ht="12" customHeight="1">
      <c r="A13" s="501"/>
      <c r="B13" s="513" t="s">
        <v>579</v>
      </c>
      <c r="C13" s="557">
        <v>0</v>
      </c>
      <c r="D13" s="520" t="s">
        <v>365</v>
      </c>
      <c r="E13" s="521" t="s">
        <v>327</v>
      </c>
      <c r="F13" s="1056"/>
      <c r="G13" s="535"/>
      <c r="H13" s="512" t="s">
        <v>672</v>
      </c>
      <c r="I13" s="720" t="str">
        <f>IF(AND($C$12+$C$13+C14+$C$15+$C$16=0,$C$17=1,$C$18=1),"ДА","НЕТ")</f>
        <v>НЕТ</v>
      </c>
      <c r="J13" s="709"/>
      <c r="K13" s="421">
        <f t="shared" si="0"/>
        <v>0</v>
      </c>
      <c r="L13" s="501"/>
    </row>
    <row r="14" spans="1:12" ht="12" customHeight="1">
      <c r="A14" s="501"/>
      <c r="B14" s="513" t="s">
        <v>667</v>
      </c>
      <c r="C14" s="557">
        <v>0</v>
      </c>
      <c r="D14" s="520" t="s">
        <v>365</v>
      </c>
      <c r="E14" s="520" t="s">
        <v>327</v>
      </c>
      <c r="F14" s="1056"/>
      <c r="G14" s="535"/>
      <c r="H14" s="512" t="s">
        <v>672</v>
      </c>
      <c r="I14" s="720" t="str">
        <f>IF(AND($C$12+$C$13+C14+$C$15+$C$16=0,$C$17=1,$C$18=1),"ДА","НЕТ")</f>
        <v>НЕТ</v>
      </c>
      <c r="J14" s="709"/>
      <c r="K14" s="421">
        <f t="shared" si="0"/>
        <v>0</v>
      </c>
      <c r="L14" s="501"/>
    </row>
    <row r="15" spans="1:12" ht="12" customHeight="1">
      <c r="A15" s="501"/>
      <c r="B15" s="515" t="s">
        <v>580</v>
      </c>
      <c r="C15" s="558">
        <v>0</v>
      </c>
      <c r="D15" s="518" t="s">
        <v>365</v>
      </c>
      <c r="E15" s="519" t="s">
        <v>327</v>
      </c>
      <c r="F15" s="1056"/>
      <c r="G15" s="535"/>
      <c r="H15" s="509" t="s">
        <v>467</v>
      </c>
      <c r="I15" s="720" t="str">
        <f>IF(AND($C$12+$C$13+$C$14+$C$17=0,$C$15+$C$16=1,$C$18=2),"ДА","НЕТ")</f>
        <v>НЕТ</v>
      </c>
      <c r="J15" s="708"/>
      <c r="K15" s="421">
        <f t="shared" si="0"/>
        <v>0</v>
      </c>
      <c r="L15" s="501"/>
    </row>
    <row r="16" spans="1:12" ht="12" customHeight="1">
      <c r="A16" s="501"/>
      <c r="B16" s="513" t="s">
        <v>581</v>
      </c>
      <c r="C16" s="557">
        <v>0</v>
      </c>
      <c r="D16" s="520" t="s">
        <v>365</v>
      </c>
      <c r="E16" s="521" t="s">
        <v>327</v>
      </c>
      <c r="F16" s="1056"/>
      <c r="G16" s="535"/>
      <c r="H16" s="512" t="s">
        <v>468</v>
      </c>
      <c r="I16" s="720" t="str">
        <f>IF(AND($C$12+$C$13+$C$14+$C$17=0,$C$15+$C$16=1,$C$18=2),"ДА","НЕТ")</f>
        <v>НЕТ</v>
      </c>
      <c r="J16" s="708"/>
      <c r="K16" s="421">
        <f t="shared" si="0"/>
        <v>0</v>
      </c>
      <c r="L16" s="501"/>
    </row>
    <row r="17" spans="1:12" ht="12" customHeight="1" thickBot="1">
      <c r="A17" s="501"/>
      <c r="B17" s="610" t="s">
        <v>668</v>
      </c>
      <c r="C17" s="609">
        <v>0</v>
      </c>
      <c r="D17" s="722" t="s">
        <v>365</v>
      </c>
      <c r="E17" s="612" t="s">
        <v>327</v>
      </c>
      <c r="F17" s="1056"/>
      <c r="G17" s="535"/>
      <c r="H17" s="512" t="s">
        <v>469</v>
      </c>
      <c r="I17" s="720" t="str">
        <f>IF(AND($C$12+$C$13+$C$14+$C$17=0,$C$15+$C$16=1,$C$18=2),"ДА","НЕТ")</f>
        <v>НЕТ</v>
      </c>
      <c r="J17" s="708"/>
      <c r="K17" s="418">
        <f t="shared" si="0"/>
        <v>0</v>
      </c>
      <c r="L17" s="501"/>
    </row>
    <row r="18" spans="1:12" ht="12" customHeight="1" thickBot="1">
      <c r="A18" s="501"/>
      <c r="B18" s="525" t="s">
        <v>669</v>
      </c>
      <c r="C18" s="644">
        <v>0</v>
      </c>
      <c r="D18" s="529" t="s">
        <v>699</v>
      </c>
      <c r="E18" s="530" t="s">
        <v>700</v>
      </c>
      <c r="F18" s="532" t="s">
        <v>701</v>
      </c>
      <c r="G18" s="535"/>
      <c r="H18" s="509" t="s">
        <v>673</v>
      </c>
      <c r="I18" s="719" t="str">
        <f>IF(AND($C$12+$C$13+C14+$C$15+$C$16=0,$C$17=1,$C$18=2),"ДА","НЕТ")</f>
        <v>НЕТ</v>
      </c>
      <c r="J18" s="710"/>
      <c r="K18" s="425">
        <f t="shared" si="0"/>
        <v>0</v>
      </c>
      <c r="L18" s="501"/>
    </row>
    <row r="19" spans="1:12" ht="12" customHeight="1" thickBot="1">
      <c r="A19" s="501"/>
      <c r="B19" s="515" t="s">
        <v>439</v>
      </c>
      <c r="C19" s="558">
        <v>0</v>
      </c>
      <c r="D19" s="518" t="s">
        <v>365</v>
      </c>
      <c r="E19" s="519" t="s">
        <v>327</v>
      </c>
      <c r="F19" s="1056" t="s">
        <v>677</v>
      </c>
      <c r="G19" s="535"/>
      <c r="H19" s="533" t="s">
        <v>674</v>
      </c>
      <c r="I19" s="730" t="str">
        <f>IF(AND($C$12+$C$13+C14+$C$15+$C$16=0,$C$17=1,$C$18=2),"ДА","НЕТ")</f>
        <v>НЕТ</v>
      </c>
      <c r="J19" s="711"/>
      <c r="K19" s="428">
        <f t="shared" si="0"/>
        <v>0</v>
      </c>
      <c r="L19" s="501"/>
    </row>
    <row r="20" spans="1:12" ht="12" customHeight="1">
      <c r="A20" s="501"/>
      <c r="B20" s="515" t="s">
        <v>545</v>
      </c>
      <c r="C20" s="558">
        <v>0</v>
      </c>
      <c r="D20" s="518" t="s">
        <v>365</v>
      </c>
      <c r="E20" s="519" t="s">
        <v>327</v>
      </c>
      <c r="F20" s="1056"/>
      <c r="G20" s="535"/>
      <c r="H20" s="535"/>
      <c r="I20" s="535"/>
      <c r="J20" s="535"/>
      <c r="K20" s="535"/>
      <c r="L20" s="501"/>
    </row>
    <row r="21" spans="1:12" ht="12" customHeight="1">
      <c r="A21" s="501"/>
      <c r="B21" s="513" t="s">
        <v>440</v>
      </c>
      <c r="C21" s="557">
        <v>0</v>
      </c>
      <c r="D21" s="520" t="s">
        <v>365</v>
      </c>
      <c r="E21" s="521" t="s">
        <v>327</v>
      </c>
      <c r="F21" s="1056"/>
      <c r="G21" s="535"/>
      <c r="H21" s="535"/>
      <c r="I21" s="535"/>
      <c r="J21" s="535"/>
      <c r="K21" s="535"/>
      <c r="L21" s="501"/>
    </row>
    <row r="22" spans="1:12" ht="12" customHeight="1" thickBot="1">
      <c r="A22" s="501"/>
      <c r="B22" s="508" t="s">
        <v>546</v>
      </c>
      <c r="C22" s="559">
        <v>0</v>
      </c>
      <c r="D22" s="523" t="s">
        <v>365</v>
      </c>
      <c r="E22" s="524" t="s">
        <v>327</v>
      </c>
      <c r="F22" s="1057"/>
      <c r="G22" s="535"/>
      <c r="H22" s="535"/>
      <c r="I22" s="535"/>
      <c r="J22" s="535"/>
      <c r="K22" s="535"/>
      <c r="L22" s="501"/>
    </row>
    <row r="23" spans="1:12" ht="12" customHeight="1">
      <c r="A23" s="501"/>
      <c r="B23" s="503" t="s">
        <v>205</v>
      </c>
      <c r="C23" s="560">
        <v>0</v>
      </c>
      <c r="D23" s="1058" t="s">
        <v>766</v>
      </c>
      <c r="E23" s="1059"/>
      <c r="F23" s="1060"/>
      <c r="G23" s="535"/>
      <c r="H23" s="535"/>
      <c r="I23" s="535"/>
      <c r="J23" s="535"/>
      <c r="K23" s="535"/>
      <c r="L23" s="501"/>
    </row>
    <row r="24" spans="1:12" ht="12" customHeight="1" thickBot="1">
      <c r="A24" s="501"/>
      <c r="B24" s="508" t="s">
        <v>204</v>
      </c>
      <c r="C24" s="559">
        <v>0</v>
      </c>
      <c r="D24" s="1064" t="s">
        <v>767</v>
      </c>
      <c r="E24" s="1065"/>
      <c r="F24" s="1066"/>
      <c r="G24" s="535"/>
      <c r="H24" s="535"/>
      <c r="I24" s="535"/>
      <c r="J24" s="535"/>
      <c r="K24" s="535"/>
      <c r="L24" s="501"/>
    </row>
    <row r="25" spans="1:12" ht="12" customHeight="1" thickBot="1">
      <c r="A25" s="501"/>
      <c r="B25" s="1044"/>
      <c r="C25" s="1044"/>
      <c r="D25" s="1044"/>
      <c r="E25" s="1044"/>
      <c r="F25" s="535"/>
      <c r="G25" s="535"/>
      <c r="H25" s="535"/>
      <c r="I25" s="535"/>
      <c r="J25" s="535"/>
      <c r="K25" s="535"/>
      <c r="L25" s="501"/>
    </row>
    <row r="26" spans="1:12" ht="12" customHeight="1">
      <c r="A26" s="501"/>
      <c r="B26" s="540" t="s">
        <v>5</v>
      </c>
      <c r="C26" s="541" t="s">
        <v>0</v>
      </c>
      <c r="D26" s="727" t="s">
        <v>4</v>
      </c>
      <c r="E26" s="543" t="s">
        <v>8</v>
      </c>
      <c r="F26" s="535"/>
      <c r="G26" s="535"/>
      <c r="H26" s="535"/>
      <c r="I26" s="535"/>
      <c r="J26" s="535"/>
      <c r="K26" s="535"/>
      <c r="L26" s="501"/>
    </row>
    <row r="27" spans="1:12" ht="12" customHeight="1">
      <c r="A27" s="501"/>
      <c r="B27" s="545" t="s">
        <v>643</v>
      </c>
      <c r="C27" s="437">
        <f>C22*(C6+C7+C8+C9+C10+C11)*2</f>
        <v>0</v>
      </c>
      <c r="D27" s="438"/>
      <c r="E27" s="439">
        <f t="shared" ref="E27:E61" si="1">C27*D27</f>
        <v>0</v>
      </c>
      <c r="F27" s="535"/>
      <c r="G27" s="535"/>
      <c r="H27" s="535"/>
      <c r="I27" s="535"/>
      <c r="J27" s="535"/>
      <c r="K27" s="535"/>
      <c r="L27" s="501"/>
    </row>
    <row r="28" spans="1:12" ht="12" customHeight="1">
      <c r="A28" s="501"/>
      <c r="B28" s="545" t="s">
        <v>644</v>
      </c>
      <c r="C28" s="437">
        <f>C20*(C6+C7+C8+C9+C10+C11)*2</f>
        <v>0</v>
      </c>
      <c r="D28" s="438"/>
      <c r="E28" s="439">
        <f t="shared" si="1"/>
        <v>0</v>
      </c>
      <c r="F28" s="535"/>
      <c r="G28" s="535"/>
      <c r="H28" s="535"/>
      <c r="I28" s="535"/>
      <c r="J28" s="535"/>
      <c r="K28" s="535"/>
      <c r="L28" s="501"/>
    </row>
    <row r="29" spans="1:12" ht="12" customHeight="1">
      <c r="A29" s="501"/>
      <c r="B29" s="545" t="s">
        <v>122</v>
      </c>
      <c r="C29" s="437">
        <f>(C19+C21)*4*(C6+C7+C8+C9+C10+C11)</f>
        <v>0</v>
      </c>
      <c r="D29" s="438"/>
      <c r="E29" s="439">
        <f t="shared" si="1"/>
        <v>0</v>
      </c>
      <c r="F29" s="535"/>
      <c r="G29" s="535"/>
      <c r="H29" s="535"/>
      <c r="I29" s="535"/>
      <c r="J29" s="535"/>
      <c r="K29" s="535"/>
      <c r="L29" s="501"/>
    </row>
    <row r="30" spans="1:12" ht="12" customHeight="1">
      <c r="A30" s="501"/>
      <c r="B30" s="547" t="s">
        <v>721</v>
      </c>
      <c r="C30" s="442">
        <f>EVEN(ROUNDDOWN(IF(AND(C9+C10+C11&gt;0.9,C6+C7+C8=0),(C9+C10+C11)*C2/0.5,0),0))</f>
        <v>0</v>
      </c>
      <c r="D30" s="443"/>
      <c r="E30" s="439">
        <f t="shared" si="1"/>
        <v>0</v>
      </c>
      <c r="F30" s="537"/>
      <c r="G30" s="535"/>
      <c r="H30" s="535"/>
      <c r="I30" s="535"/>
      <c r="J30" s="535"/>
      <c r="K30" s="535"/>
      <c r="L30" s="501"/>
    </row>
    <row r="31" spans="1:12" ht="12" customHeight="1">
      <c r="A31" s="501"/>
      <c r="B31" s="547" t="s">
        <v>635</v>
      </c>
      <c r="C31" s="442">
        <f>C6+C7+C8+C9+C10+C11</f>
        <v>0</v>
      </c>
      <c r="D31" s="443"/>
      <c r="E31" s="439">
        <f>C31*D31</f>
        <v>0</v>
      </c>
      <c r="F31" s="539"/>
      <c r="G31" s="535"/>
      <c r="H31" s="535"/>
      <c r="I31" s="535"/>
      <c r="J31" s="535"/>
      <c r="K31" s="535"/>
      <c r="L31" s="501"/>
    </row>
    <row r="32" spans="1:12" ht="12" customHeight="1">
      <c r="A32" s="501"/>
      <c r="B32" s="547" t="s">
        <v>499</v>
      </c>
      <c r="C32" s="442">
        <f>(C6+C7+C8+C9+C10+C11)*2</f>
        <v>0</v>
      </c>
      <c r="D32" s="443"/>
      <c r="E32" s="439">
        <f>C32*D32</f>
        <v>0</v>
      </c>
      <c r="F32" s="539"/>
      <c r="G32" s="535"/>
      <c r="H32" s="535"/>
      <c r="I32" s="535"/>
      <c r="J32" s="535"/>
      <c r="K32" s="535"/>
      <c r="L32" s="501"/>
    </row>
    <row r="33" spans="1:12" ht="12" customHeight="1">
      <c r="A33" s="501"/>
      <c r="B33" s="545" t="s">
        <v>722</v>
      </c>
      <c r="C33" s="445">
        <f>(C6+C7+C8)*2</f>
        <v>0</v>
      </c>
      <c r="D33" s="446"/>
      <c r="E33" s="439">
        <f t="shared" si="1"/>
        <v>0</v>
      </c>
      <c r="F33" s="535"/>
      <c r="G33" s="535"/>
      <c r="H33" s="535"/>
      <c r="I33" s="535"/>
      <c r="J33" s="535"/>
      <c r="K33" s="535"/>
      <c r="L33" s="501"/>
    </row>
    <row r="34" spans="1:12" ht="12" customHeight="1">
      <c r="A34" s="501"/>
      <c r="B34" s="547" t="s">
        <v>723</v>
      </c>
      <c r="C34" s="445">
        <f>IF(C6+C7+C8=0,(C9+C10+C11)*2,0)</f>
        <v>0</v>
      </c>
      <c r="D34" s="446"/>
      <c r="E34" s="439">
        <f t="shared" si="1"/>
        <v>0</v>
      </c>
      <c r="F34" s="535"/>
      <c r="G34" s="535"/>
      <c r="H34" s="535"/>
      <c r="I34" s="535"/>
      <c r="J34" s="535"/>
      <c r="K34" s="535"/>
      <c r="L34" s="501"/>
    </row>
    <row r="35" spans="1:12" ht="12" customHeight="1">
      <c r="A35" s="501"/>
      <c r="B35" s="547" t="s">
        <v>511</v>
      </c>
      <c r="C35" s="437">
        <f>(C6+C9)*2</f>
        <v>0</v>
      </c>
      <c r="D35" s="438"/>
      <c r="E35" s="439">
        <f t="shared" si="1"/>
        <v>0</v>
      </c>
      <c r="F35" s="535"/>
      <c r="G35" s="535"/>
      <c r="H35" s="535"/>
      <c r="I35" s="535"/>
      <c r="J35" s="535"/>
      <c r="K35" s="535"/>
      <c r="L35" s="501"/>
    </row>
    <row r="36" spans="1:12" ht="12" customHeight="1">
      <c r="A36" s="501"/>
      <c r="B36" s="547" t="s">
        <v>512</v>
      </c>
      <c r="C36" s="442">
        <f>(C6+C9)*2</f>
        <v>0</v>
      </c>
      <c r="D36" s="443"/>
      <c r="E36" s="439">
        <f t="shared" si="1"/>
        <v>0</v>
      </c>
      <c r="F36" s="535"/>
      <c r="G36" s="535"/>
      <c r="H36" s="535"/>
      <c r="I36" s="535"/>
      <c r="J36" s="535"/>
      <c r="K36" s="535"/>
      <c r="L36" s="501"/>
    </row>
    <row r="37" spans="1:12" ht="12" customHeight="1">
      <c r="A37" s="501"/>
      <c r="B37" s="547" t="s">
        <v>680</v>
      </c>
      <c r="C37" s="442">
        <f>(C8+C11)*2</f>
        <v>0</v>
      </c>
      <c r="D37" s="443"/>
      <c r="E37" s="439">
        <f>C37*D37</f>
        <v>0</v>
      </c>
      <c r="F37" s="535"/>
      <c r="G37" s="535"/>
      <c r="H37" s="535"/>
      <c r="I37" s="535"/>
      <c r="J37" s="535"/>
      <c r="K37" s="535"/>
      <c r="L37" s="501"/>
    </row>
    <row r="38" spans="1:12" ht="12" customHeight="1">
      <c r="A38" s="501"/>
      <c r="B38" s="547" t="s">
        <v>513</v>
      </c>
      <c r="C38" s="442">
        <f>(C7+C10+C8+C11)*2</f>
        <v>0</v>
      </c>
      <c r="D38" s="443"/>
      <c r="E38" s="439">
        <f t="shared" si="1"/>
        <v>0</v>
      </c>
      <c r="F38" s="535"/>
      <c r="G38" s="535"/>
      <c r="H38" s="535"/>
      <c r="I38" s="535"/>
      <c r="J38" s="535"/>
      <c r="K38" s="535"/>
      <c r="L38" s="501"/>
    </row>
    <row r="39" spans="1:12" ht="12" customHeight="1">
      <c r="A39" s="501"/>
      <c r="B39" s="547" t="s">
        <v>724</v>
      </c>
      <c r="C39" s="442">
        <f>(C9+C10+C11)*3</f>
        <v>0</v>
      </c>
      <c r="D39" s="443"/>
      <c r="E39" s="439">
        <f t="shared" si="1"/>
        <v>0</v>
      </c>
      <c r="F39" s="535"/>
      <c r="G39" s="535"/>
      <c r="H39" s="535"/>
      <c r="I39" s="535"/>
      <c r="J39" s="535"/>
      <c r="K39" s="535"/>
      <c r="L39" s="501"/>
    </row>
    <row r="40" spans="1:12" ht="12" customHeight="1">
      <c r="A40" s="501"/>
      <c r="B40" s="547" t="s">
        <v>553</v>
      </c>
      <c r="C40" s="442">
        <f>C22*(C2+C4)*(C6+C7+C8+C9+C10+C11)</f>
        <v>0</v>
      </c>
      <c r="D40" s="443"/>
      <c r="E40" s="439">
        <f>C40*D40</f>
        <v>0</v>
      </c>
      <c r="F40" s="535"/>
      <c r="G40" s="535"/>
      <c r="H40" s="535"/>
      <c r="I40" s="535"/>
      <c r="J40" s="535"/>
      <c r="K40" s="535"/>
      <c r="L40" s="501"/>
    </row>
    <row r="41" spans="1:12" ht="12" customHeight="1">
      <c r="A41" s="501"/>
      <c r="B41" s="545" t="s">
        <v>553</v>
      </c>
      <c r="C41" s="442">
        <f>(C2+C4)*(C6+C7+C8+C9+C10+C11)</f>
        <v>0</v>
      </c>
      <c r="D41" s="443"/>
      <c r="E41" s="439">
        <f t="shared" si="1"/>
        <v>0</v>
      </c>
      <c r="F41" s="535"/>
      <c r="G41" s="535"/>
      <c r="H41" s="535"/>
      <c r="I41" s="535"/>
      <c r="J41" s="535"/>
      <c r="K41" s="535"/>
      <c r="L41" s="501"/>
    </row>
    <row r="42" spans="1:12" ht="12" customHeight="1">
      <c r="A42" s="501"/>
      <c r="B42" s="547" t="s">
        <v>441</v>
      </c>
      <c r="C42" s="442">
        <f>C21*2*(C2+C4)*(C6+C7+C8+C9+C10+C11)</f>
        <v>0</v>
      </c>
      <c r="D42" s="443"/>
      <c r="E42" s="439">
        <f t="shared" si="1"/>
        <v>0</v>
      </c>
      <c r="F42" s="535"/>
      <c r="G42" s="535"/>
      <c r="H42" s="535"/>
      <c r="I42" s="535"/>
      <c r="J42" s="535"/>
      <c r="K42" s="535"/>
      <c r="L42" s="501"/>
    </row>
    <row r="43" spans="1:12" ht="12" customHeight="1">
      <c r="A43" s="501"/>
      <c r="B43" s="547" t="s">
        <v>556</v>
      </c>
      <c r="C43" s="442">
        <f>C20*(C2+C4)*(C6+C7+C8+C9+C10+C11)</f>
        <v>0</v>
      </c>
      <c r="D43" s="449"/>
      <c r="E43" s="439">
        <f t="shared" si="1"/>
        <v>0</v>
      </c>
      <c r="F43" s="535"/>
      <c r="G43" s="535"/>
      <c r="H43" s="535"/>
      <c r="I43" s="535"/>
      <c r="J43" s="535"/>
      <c r="K43" s="535"/>
      <c r="L43" s="501"/>
    </row>
    <row r="44" spans="1:12" ht="12" customHeight="1">
      <c r="A44" s="501"/>
      <c r="B44" s="547" t="s">
        <v>546</v>
      </c>
      <c r="C44" s="442">
        <f>C22*(C2+C4)*(C6+C7+C8+C9+C10+C11)</f>
        <v>0</v>
      </c>
      <c r="D44" s="443"/>
      <c r="E44" s="439">
        <f t="shared" si="1"/>
        <v>0</v>
      </c>
      <c r="F44" s="535"/>
      <c r="G44" s="535"/>
      <c r="H44" s="535"/>
      <c r="I44" s="535"/>
      <c r="J44" s="535"/>
      <c r="K44" s="535"/>
      <c r="L44" s="501"/>
    </row>
    <row r="45" spans="1:12" ht="12" customHeight="1">
      <c r="A45" s="501"/>
      <c r="B45" s="547" t="s">
        <v>725</v>
      </c>
      <c r="C45" s="442">
        <f>C20*(C2+C4)*(C6+C7+C8+C9+C10+C11)</f>
        <v>0</v>
      </c>
      <c r="D45" s="443"/>
      <c r="E45" s="439">
        <f t="shared" si="1"/>
        <v>0</v>
      </c>
      <c r="F45" s="535"/>
      <c r="G45" s="535"/>
      <c r="H45" s="535"/>
      <c r="I45" s="535"/>
      <c r="J45" s="535"/>
      <c r="K45" s="535"/>
      <c r="L45" s="501"/>
    </row>
    <row r="46" spans="1:12" ht="12" customHeight="1">
      <c r="A46" s="501"/>
      <c r="B46" s="547" t="s">
        <v>442</v>
      </c>
      <c r="C46" s="442">
        <f>C19*(C2+C4)*(C6+C7+C8+C9+C10+C11)</f>
        <v>0</v>
      </c>
      <c r="D46" s="443"/>
      <c r="E46" s="439">
        <f t="shared" si="1"/>
        <v>0</v>
      </c>
      <c r="F46" s="535"/>
      <c r="G46" s="535"/>
      <c r="H46" s="535"/>
      <c r="I46" s="535"/>
      <c r="J46" s="535"/>
      <c r="K46" s="535"/>
      <c r="L46" s="501"/>
    </row>
    <row r="47" spans="1:12" ht="12" customHeight="1">
      <c r="A47" s="501"/>
      <c r="B47" s="547" t="s">
        <v>443</v>
      </c>
      <c r="C47" s="450">
        <f>C21*(C2+C4)*(C6+C7+C8+C9+C10+C11)</f>
        <v>0</v>
      </c>
      <c r="D47" s="443"/>
      <c r="E47" s="439">
        <f t="shared" si="1"/>
        <v>0</v>
      </c>
      <c r="F47" s="535"/>
      <c r="G47" s="535"/>
      <c r="H47" s="535"/>
      <c r="I47" s="535"/>
      <c r="J47" s="535"/>
      <c r="K47" s="535"/>
      <c r="L47" s="501"/>
    </row>
    <row r="48" spans="1:12" ht="12" customHeight="1">
      <c r="A48" s="501"/>
      <c r="B48" s="545" t="s">
        <v>540</v>
      </c>
      <c r="C48" s="450">
        <f>(C6+C9)*(C2+C4)</f>
        <v>0</v>
      </c>
      <c r="D48" s="443"/>
      <c r="E48" s="439">
        <f t="shared" si="1"/>
        <v>0</v>
      </c>
      <c r="F48" s="535"/>
      <c r="G48" s="535"/>
      <c r="H48" s="535"/>
      <c r="I48" s="535"/>
      <c r="J48" s="535"/>
      <c r="K48" s="535"/>
      <c r="L48" s="501"/>
    </row>
    <row r="49" spans="1:12" ht="12" customHeight="1">
      <c r="A49" s="501"/>
      <c r="B49" s="545" t="s">
        <v>541</v>
      </c>
      <c r="C49" s="450">
        <f>(C7+C10)*(C2+C4)</f>
        <v>0</v>
      </c>
      <c r="D49" s="443"/>
      <c r="E49" s="439">
        <f t="shared" si="1"/>
        <v>0</v>
      </c>
      <c r="F49" s="539"/>
      <c r="G49" s="535"/>
      <c r="H49" s="535"/>
      <c r="I49" s="535"/>
      <c r="J49" s="535"/>
      <c r="K49" s="535"/>
      <c r="L49" s="501"/>
    </row>
    <row r="50" spans="1:12" ht="12" customHeight="1">
      <c r="A50" s="501"/>
      <c r="B50" s="545" t="s">
        <v>681</v>
      </c>
      <c r="C50" s="450">
        <f>(C8+C11)*(C2+C4)</f>
        <v>0</v>
      </c>
      <c r="D50" s="443"/>
      <c r="E50" s="439">
        <f>C50*D50</f>
        <v>0</v>
      </c>
      <c r="F50" s="539"/>
      <c r="G50" s="535"/>
      <c r="H50" s="535"/>
      <c r="I50" s="535"/>
      <c r="J50" s="535"/>
      <c r="K50" s="535"/>
      <c r="L50" s="501"/>
    </row>
    <row r="51" spans="1:12" ht="12" customHeight="1">
      <c r="A51" s="501"/>
      <c r="B51" s="545" t="s">
        <v>501</v>
      </c>
      <c r="C51" s="450">
        <f>IF(C6+C7+C8=0,(C9+C10+C11)*(C2+C4),0)</f>
        <v>0</v>
      </c>
      <c r="D51" s="443"/>
      <c r="E51" s="439">
        <f t="shared" si="1"/>
        <v>0</v>
      </c>
      <c r="F51" s="535"/>
      <c r="G51" s="535"/>
      <c r="H51" s="535"/>
      <c r="I51" s="535"/>
      <c r="J51" s="535"/>
      <c r="K51" s="535"/>
      <c r="L51" s="501"/>
    </row>
    <row r="52" spans="1:12" ht="12" customHeight="1">
      <c r="A52" s="501"/>
      <c r="B52" s="547" t="s">
        <v>727</v>
      </c>
      <c r="C52" s="450">
        <f>(C6+C7+C8+C9+C10+C11)*2</f>
        <v>0</v>
      </c>
      <c r="D52" s="443"/>
      <c r="E52" s="439">
        <f t="shared" si="1"/>
        <v>0</v>
      </c>
      <c r="F52" s="535"/>
      <c r="G52" s="535"/>
      <c r="H52" s="535"/>
      <c r="I52" s="535"/>
      <c r="J52" s="535"/>
      <c r="K52" s="535"/>
      <c r="L52" s="501"/>
    </row>
    <row r="53" spans="1:12" ht="12" customHeight="1">
      <c r="A53" s="501"/>
      <c r="B53" s="547" t="s">
        <v>503</v>
      </c>
      <c r="C53" s="450">
        <f>(C9+C10+C11)*6</f>
        <v>0</v>
      </c>
      <c r="D53" s="443"/>
      <c r="E53" s="439">
        <f t="shared" si="1"/>
        <v>0</v>
      </c>
      <c r="F53" s="535"/>
      <c r="G53" s="535"/>
      <c r="H53" s="535"/>
      <c r="I53" s="535"/>
      <c r="J53" s="535"/>
      <c r="K53" s="535"/>
      <c r="L53" s="501"/>
    </row>
    <row r="54" spans="1:12" ht="12" customHeight="1">
      <c r="A54" s="501"/>
      <c r="B54" s="548" t="s">
        <v>682</v>
      </c>
      <c r="C54" s="450">
        <f>C14*(C8+C11)*2</f>
        <v>0</v>
      </c>
      <c r="D54" s="443"/>
      <c r="E54" s="439">
        <f t="shared" si="1"/>
        <v>0</v>
      </c>
      <c r="F54" s="535"/>
      <c r="G54" s="535"/>
      <c r="H54" s="535"/>
      <c r="I54" s="535"/>
      <c r="J54" s="535"/>
      <c r="K54" s="535"/>
      <c r="L54" s="501"/>
    </row>
    <row r="55" spans="1:12" ht="12" customHeight="1">
      <c r="A55" s="501"/>
      <c r="B55" s="548" t="s">
        <v>683</v>
      </c>
      <c r="C55" s="450">
        <f>C17*(C8+C11)*2</f>
        <v>0</v>
      </c>
      <c r="D55" s="443"/>
      <c r="E55" s="439">
        <f t="shared" si="1"/>
        <v>0</v>
      </c>
      <c r="F55" s="535"/>
      <c r="G55" s="535"/>
      <c r="H55" s="535"/>
      <c r="I55" s="535"/>
      <c r="J55" s="535"/>
      <c r="K55" s="535"/>
      <c r="L55" s="501"/>
    </row>
    <row r="56" spans="1:12" ht="12" customHeight="1">
      <c r="A56" s="501"/>
      <c r="B56" s="548" t="s">
        <v>456</v>
      </c>
      <c r="C56" s="450">
        <f>C12*(C6+C9)*2</f>
        <v>0</v>
      </c>
      <c r="D56" s="449"/>
      <c r="E56" s="439">
        <f t="shared" si="1"/>
        <v>0</v>
      </c>
      <c r="F56" s="549"/>
      <c r="G56" s="535"/>
      <c r="H56" s="535"/>
      <c r="I56" s="535"/>
      <c r="J56" s="535"/>
      <c r="K56" s="535"/>
      <c r="L56" s="501"/>
    </row>
    <row r="57" spans="1:12" ht="12" customHeight="1">
      <c r="A57" s="501"/>
      <c r="B57" s="548" t="s">
        <v>678</v>
      </c>
      <c r="C57" s="450">
        <f>C15*(C6+C9)*2</f>
        <v>0</v>
      </c>
      <c r="D57" s="449"/>
      <c r="E57" s="439">
        <f t="shared" si="1"/>
        <v>0</v>
      </c>
      <c r="F57" s="797"/>
      <c r="G57" s="535"/>
      <c r="H57" s="535"/>
      <c r="I57" s="535"/>
      <c r="J57" s="535"/>
      <c r="K57" s="535"/>
      <c r="L57" s="501"/>
    </row>
    <row r="58" spans="1:12" ht="12" customHeight="1">
      <c r="A58" s="501"/>
      <c r="B58" s="548" t="s">
        <v>515</v>
      </c>
      <c r="C58" s="450">
        <f>C13*(C7+C10)*2</f>
        <v>0</v>
      </c>
      <c r="D58" s="443"/>
      <c r="E58" s="439">
        <f t="shared" si="1"/>
        <v>0</v>
      </c>
      <c r="F58" s="743"/>
      <c r="G58" s="535"/>
      <c r="H58" s="535"/>
      <c r="I58" s="535"/>
      <c r="J58" s="535"/>
      <c r="K58" s="535"/>
      <c r="L58" s="501"/>
    </row>
    <row r="59" spans="1:12" ht="12" customHeight="1">
      <c r="A59" s="501"/>
      <c r="B59" s="621" t="s">
        <v>203</v>
      </c>
      <c r="C59" s="602">
        <f>C24</f>
        <v>0</v>
      </c>
      <c r="D59" s="618"/>
      <c r="E59" s="496">
        <f t="shared" si="1"/>
        <v>0</v>
      </c>
      <c r="F59" s="743"/>
      <c r="G59" s="535"/>
      <c r="H59" s="535"/>
      <c r="I59" s="535"/>
      <c r="J59" s="535"/>
      <c r="K59" s="535"/>
      <c r="L59" s="501"/>
    </row>
    <row r="60" spans="1:12" ht="12" customHeight="1">
      <c r="A60" s="501"/>
      <c r="B60" s="621" t="s">
        <v>206</v>
      </c>
      <c r="C60" s="602">
        <f>C23</f>
        <v>0</v>
      </c>
      <c r="D60" s="618"/>
      <c r="E60" s="496">
        <f t="shared" si="1"/>
        <v>0</v>
      </c>
      <c r="F60" s="743"/>
      <c r="G60" s="535"/>
      <c r="H60" s="535"/>
      <c r="I60" s="535"/>
      <c r="J60" s="535"/>
      <c r="K60" s="535"/>
      <c r="L60" s="501"/>
    </row>
    <row r="61" spans="1:12" ht="12" customHeight="1" thickBot="1">
      <c r="A61" s="501"/>
      <c r="B61" s="550" t="s">
        <v>679</v>
      </c>
      <c r="C61" s="498">
        <f>C16*(C7+C10)*2</f>
        <v>0</v>
      </c>
      <c r="D61" s="499"/>
      <c r="E61" s="500">
        <f t="shared" si="1"/>
        <v>0</v>
      </c>
      <c r="F61" s="743"/>
      <c r="G61" s="535"/>
      <c r="H61" s="535"/>
      <c r="I61" s="535"/>
      <c r="J61" s="535"/>
      <c r="K61" s="535"/>
      <c r="L61" s="501"/>
    </row>
    <row r="62" spans="1:12" ht="12" customHeight="1" thickBot="1">
      <c r="A62" s="501"/>
      <c r="B62" s="535"/>
      <c r="C62" s="535"/>
      <c r="D62" s="551" t="s">
        <v>9</v>
      </c>
      <c r="E62" s="623">
        <f>SUMIF(E27:E61,"&gt;0",E27:E61)</f>
        <v>0</v>
      </c>
      <c r="F62" s="743"/>
      <c r="G62" s="535"/>
      <c r="H62" s="535"/>
      <c r="I62" s="535"/>
      <c r="J62" s="535"/>
      <c r="K62" s="535"/>
      <c r="L62" s="501"/>
    </row>
    <row r="63" spans="1:12">
      <c r="A63" s="501"/>
      <c r="B63" s="535"/>
      <c r="C63" s="535"/>
      <c r="D63" s="535"/>
      <c r="E63" s="535"/>
      <c r="F63" s="743"/>
      <c r="G63" s="535"/>
      <c r="H63" s="535"/>
      <c r="I63" s="535"/>
      <c r="J63" s="535"/>
      <c r="K63" s="535"/>
      <c r="L63" s="501"/>
    </row>
    <row r="64" spans="1:12">
      <c r="A64" s="501"/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</row>
    <row r="65" spans="1:12" ht="11.25" customHeight="1">
      <c r="A65" s="501"/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</row>
    <row r="66" spans="1:12">
      <c r="A66" s="501"/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</row>
    <row r="67" spans="1:12">
      <c r="A67" s="501"/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</row>
    <row r="68" spans="1:12">
      <c r="A68" s="501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</row>
    <row r="69" spans="1:12">
      <c r="A69" s="501"/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</row>
    <row r="70" spans="1:12" ht="11.25" customHeight="1">
      <c r="A70" s="501"/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</row>
  </sheetData>
  <sheetProtection algorithmName="SHA-512" hashValue="PsrCCHxI6lPpprbIA4qKEDxQJEQ9M9oSOgbdrIJB8gSXjoVJWJHGz8NVRuYUYU+mzR59uFTdEtWNXA/sGk3HuA==" saltValue="5XuGq/vi+0Q2tuBYUskDdQ==" spinCount="100000" sheet="1"/>
  <mergeCells count="8">
    <mergeCell ref="B1:E1"/>
    <mergeCell ref="B25:E25"/>
    <mergeCell ref="F12:F17"/>
    <mergeCell ref="F19:F22"/>
    <mergeCell ref="D2:F5"/>
    <mergeCell ref="D6:F11"/>
    <mergeCell ref="D23:F23"/>
    <mergeCell ref="D24:F24"/>
  </mergeCells>
  <conditionalFormatting sqref="C18">
    <cfRule type="cellIs" dxfId="121" priority="54" operator="greaterThan">
      <formula>0</formula>
    </cfRule>
  </conditionalFormatting>
  <conditionalFormatting sqref="C18">
    <cfRule type="cellIs" dxfId="120" priority="58" operator="greaterThan">
      <formula>0</formula>
    </cfRule>
  </conditionalFormatting>
  <conditionalFormatting sqref="C18">
    <cfRule type="cellIs" dxfId="119" priority="57" operator="greaterThan">
      <formula>0</formula>
    </cfRule>
  </conditionalFormatting>
  <conditionalFormatting sqref="C18">
    <cfRule type="cellIs" dxfId="118" priority="56" operator="greaterThan">
      <formula>0</formula>
    </cfRule>
  </conditionalFormatting>
  <conditionalFormatting sqref="C18">
    <cfRule type="cellIs" dxfId="117" priority="55" operator="greaterThan">
      <formula>0</formula>
    </cfRule>
  </conditionalFormatting>
  <conditionalFormatting sqref="C54:E54">
    <cfRule type="cellIs" dxfId="116" priority="53" operator="greaterThan">
      <formula>0</formula>
    </cfRule>
  </conditionalFormatting>
  <conditionalFormatting sqref="C55:E55">
    <cfRule type="cellIs" dxfId="115" priority="52" operator="greaterThan">
      <formula>0</formula>
    </cfRule>
  </conditionalFormatting>
  <conditionalFormatting sqref="C54:E55">
    <cfRule type="cellIs" dxfId="114" priority="51" operator="greaterThan">
      <formula>0</formula>
    </cfRule>
  </conditionalFormatting>
  <conditionalFormatting sqref="C54:E55">
    <cfRule type="cellIs" dxfId="113" priority="50" operator="greaterThan">
      <formula>0</formula>
    </cfRule>
  </conditionalFormatting>
  <conditionalFormatting sqref="C54:E55">
    <cfRule type="cellIs" dxfId="112" priority="49" operator="greaterThan">
      <formula>0</formula>
    </cfRule>
  </conditionalFormatting>
  <conditionalFormatting sqref="J3:J19">
    <cfRule type="cellIs" dxfId="111" priority="22" operator="greaterThan">
      <formula>0</formula>
    </cfRule>
    <cfRule type="cellIs" dxfId="110" priority="23" operator="greaterThan">
      <formula>0</formula>
    </cfRule>
  </conditionalFormatting>
  <conditionalFormatting sqref="H10:H12">
    <cfRule type="iconSet" priority="47">
      <iconSet iconSet="3Symbols">
        <cfvo type="percent" val="0"/>
        <cfvo type="percent" val="33"/>
        <cfvo type="percent" val="67"/>
      </iconSet>
    </cfRule>
    <cfRule type="expression" priority="48">
      <formula>"H71=1"</formula>
    </cfRule>
  </conditionalFormatting>
  <conditionalFormatting sqref="H10">
    <cfRule type="iconSet" priority="46">
      <iconSet iconSet="3Symbols">
        <cfvo type="percent" val="0"/>
        <cfvo type="percent" val="33"/>
        <cfvo type="percent" val="67"/>
      </iconSet>
    </cfRule>
  </conditionalFormatting>
  <conditionalFormatting sqref="I3:I4 I10:I12 I15:I17 I6:I8">
    <cfRule type="cellIs" dxfId="109" priority="43" operator="equal">
      <formula>"ДА"</formula>
    </cfRule>
    <cfRule type="cellIs" dxfId="108" priority="44" operator="equal">
      <formula>"НЕТ"</formula>
    </cfRule>
  </conditionalFormatting>
  <conditionalFormatting sqref="I3:I4 I6:I8">
    <cfRule type="colorScale" priority="4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107" priority="40" operator="equal">
      <formula>"ДА"</formula>
    </cfRule>
    <cfRule type="cellIs" dxfId="106" priority="41" operator="equal">
      <formula>"НЕТ"</formula>
    </cfRule>
  </conditionalFormatting>
  <conditionalFormatting sqref="I5">
    <cfRule type="cellIs" dxfId="105" priority="37" operator="equal">
      <formula>"ДА"</formula>
    </cfRule>
    <cfRule type="cellIs" dxfId="104" priority="38" operator="equal">
      <formula>"НЕТ"</formula>
    </cfRule>
  </conditionalFormatting>
  <conditionalFormatting sqref="I9">
    <cfRule type="colorScale" priority="42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103" priority="33" operator="equal">
      <formula>"ДА"</formula>
    </cfRule>
    <cfRule type="cellIs" dxfId="102" priority="34" operator="equal">
      <formula>"НЕТ"</formula>
    </cfRule>
  </conditionalFormatting>
  <conditionalFormatting sqref="I5">
    <cfRule type="colorScale" priority="39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35">
      <iconSet iconSet="3Symbols">
        <cfvo type="percent" val="0"/>
        <cfvo type="percent" val="33"/>
        <cfvo type="percent" val="67"/>
      </iconSet>
    </cfRule>
    <cfRule type="expression" priority="36">
      <formula>"H71=1"</formula>
    </cfRule>
  </conditionalFormatting>
  <conditionalFormatting sqref="I14">
    <cfRule type="cellIs" dxfId="101" priority="29" operator="equal">
      <formula>"ДА"</formula>
    </cfRule>
    <cfRule type="cellIs" dxfId="100" priority="30" operator="equal">
      <formula>"НЕТ"</formula>
    </cfRule>
  </conditionalFormatting>
  <conditionalFormatting sqref="H14">
    <cfRule type="iconSet" priority="31">
      <iconSet iconSet="3Symbols">
        <cfvo type="percent" val="0"/>
        <cfvo type="percent" val="33"/>
        <cfvo type="percent" val="67"/>
      </iconSet>
    </cfRule>
    <cfRule type="expression" priority="32">
      <formula>"H71=1"</formula>
    </cfRule>
  </conditionalFormatting>
  <conditionalFormatting sqref="I18">
    <cfRule type="cellIs" dxfId="99" priority="27" operator="equal">
      <formula>"ДА"</formula>
    </cfRule>
    <cfRule type="cellIs" dxfId="98" priority="28" operator="equal">
      <formula>"НЕТ"</formula>
    </cfRule>
  </conditionalFormatting>
  <conditionalFormatting sqref="I19">
    <cfRule type="cellIs" dxfId="97" priority="25" operator="equal">
      <formula>"ДА"</formula>
    </cfRule>
    <cfRule type="cellIs" dxfId="96" priority="26" operator="equal">
      <formula>"НЕТ"</formula>
    </cfRule>
  </conditionalFormatting>
  <conditionalFormatting sqref="K3:K19">
    <cfRule type="cellIs" dxfId="95" priority="24" operator="greaterThan">
      <formula>0</formula>
    </cfRule>
  </conditionalFormatting>
  <conditionalFormatting sqref="I15:I19">
    <cfRule type="cellIs" dxfId="94" priority="21" operator="equal">
      <formula>"НЕТ"</formula>
    </cfRule>
  </conditionalFormatting>
  <conditionalFormatting sqref="I3:I19">
    <cfRule type="cellIs" dxfId="93" priority="19" operator="equal">
      <formula>"НЕТ"</formula>
    </cfRule>
    <cfRule type="cellIs" dxfId="92" priority="20" operator="equal">
      <formula>"ДА"</formula>
    </cfRule>
  </conditionalFormatting>
  <conditionalFormatting sqref="I3:I18">
    <cfRule type="cellIs" dxfId="91" priority="18" operator="equal">
      <formula>"ДА"</formula>
    </cfRule>
  </conditionalFormatting>
  <conditionalFormatting sqref="I5">
    <cfRule type="cellIs" dxfId="90" priority="15" operator="equal">
      <formula>"ДА"</formula>
    </cfRule>
    <cfRule type="cellIs" dxfId="89" priority="16" operator="equal">
      <formula>"НЕТ"</formula>
    </cfRule>
  </conditionalFormatting>
  <conditionalFormatting sqref="I5">
    <cfRule type="colorScale" priority="17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88" priority="12" operator="equal">
      <formula>"ДА"</formula>
    </cfRule>
    <cfRule type="cellIs" dxfId="87" priority="13" operator="equal">
      <formula>"НЕТ"</formula>
    </cfRule>
  </conditionalFormatting>
  <conditionalFormatting sqref="I9">
    <cfRule type="colorScale" priority="14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3:K19">
    <cfRule type="cellIs" dxfId="86" priority="3" operator="greaterThan">
      <formula>0</formula>
    </cfRule>
    <cfRule type="cellIs" dxfId="85" priority="7" operator="greaterThan">
      <formula>0</formula>
    </cfRule>
    <cfRule type="cellIs" dxfId="84" priority="11" operator="greaterThan">
      <formula>0</formula>
    </cfRule>
  </conditionalFormatting>
  <conditionalFormatting sqref="I5">
    <cfRule type="cellIs" dxfId="83" priority="8" operator="equal">
      <formula>"ДА"</formula>
    </cfRule>
    <cfRule type="cellIs" dxfId="82" priority="9" operator="equal">
      <formula>"НЕТ"</formula>
    </cfRule>
  </conditionalFormatting>
  <conditionalFormatting sqref="I5">
    <cfRule type="colorScale" priority="10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2:C22">
    <cfRule type="cellIs" dxfId="81" priority="6" operator="greaterThan">
      <formula>0</formula>
    </cfRule>
  </conditionalFormatting>
  <conditionalFormatting sqref="C44:E58 C61:E61">
    <cfRule type="cellIs" dxfId="80" priority="5" operator="greaterThan">
      <formula>0</formula>
    </cfRule>
  </conditionalFormatting>
  <conditionalFormatting sqref="E62">
    <cfRule type="cellIs" dxfId="79" priority="4" operator="greaterThan">
      <formula>0</formula>
    </cfRule>
  </conditionalFormatting>
  <conditionalFormatting sqref="C23:C24">
    <cfRule type="cellIs" dxfId="78" priority="2" operator="greaterThan">
      <formula>0</formula>
    </cfRule>
  </conditionalFormatting>
  <conditionalFormatting sqref="C59:E60">
    <cfRule type="cellIs" dxfId="77" priority="1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C36" formula="1"/>
  </ignoredError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L52"/>
  <sheetViews>
    <sheetView workbookViewId="0">
      <pane ySplit="18" topLeftCell="A19" activePane="bottomLeft" state="frozen"/>
      <selection pane="bottomLeft" activeCell="H26" sqref="H26"/>
    </sheetView>
  </sheetViews>
  <sheetFormatPr defaultRowHeight="11.25"/>
  <cols>
    <col min="1" max="1" width="5" customWidth="1"/>
    <col min="2" max="2" width="61.1640625" customWidth="1"/>
    <col min="3" max="3" width="10.6640625" customWidth="1"/>
    <col min="4" max="4" width="10.83203125" customWidth="1"/>
    <col min="5" max="5" width="13" customWidth="1"/>
    <col min="6" max="6" width="27.33203125" customWidth="1"/>
    <col min="7" max="7" width="4.5" customWidth="1"/>
    <col min="8" max="8" width="45.6640625" customWidth="1"/>
    <col min="9" max="9" width="4.83203125" customWidth="1"/>
  </cols>
  <sheetData>
    <row r="1" spans="1:12" ht="53.25" customHeight="1" thickBot="1">
      <c r="A1" s="501"/>
      <c r="B1" s="1095"/>
      <c r="C1" s="1096"/>
      <c r="D1" s="1096"/>
      <c r="E1" s="1096"/>
      <c r="F1" s="501"/>
      <c r="G1" s="501"/>
      <c r="H1" s="501"/>
      <c r="I1" s="501"/>
      <c r="J1" s="501"/>
      <c r="K1" s="501"/>
    </row>
    <row r="2" spans="1:12" ht="12" customHeight="1" thickBot="1">
      <c r="A2" s="501"/>
      <c r="B2" s="503" t="s">
        <v>636</v>
      </c>
      <c r="C2" s="554">
        <v>0</v>
      </c>
      <c r="D2" s="1047" t="s">
        <v>675</v>
      </c>
      <c r="E2" s="1048"/>
      <c r="F2" s="1049"/>
      <c r="G2" s="535"/>
      <c r="H2" s="505" t="s">
        <v>565</v>
      </c>
      <c r="I2" s="784" t="s">
        <v>684</v>
      </c>
      <c r="J2" s="506" t="s">
        <v>4</v>
      </c>
      <c r="K2" s="507" t="s">
        <v>8</v>
      </c>
      <c r="L2" s="411"/>
    </row>
    <row r="3" spans="1:12" ht="12" customHeight="1">
      <c r="A3" s="501"/>
      <c r="B3" s="513" t="s">
        <v>637</v>
      </c>
      <c r="C3" s="647">
        <v>0</v>
      </c>
      <c r="D3" s="1067"/>
      <c r="E3" s="1053"/>
      <c r="F3" s="1054"/>
      <c r="G3" s="535"/>
      <c r="H3" s="509" t="s">
        <v>569</v>
      </c>
      <c r="I3" s="719" t="str">
        <f>IF(AND($C$8+$C$9=1,$C$10+$C$11=0,$C$12=1),"ДА","НЕТ")</f>
        <v>НЕТ</v>
      </c>
      <c r="J3" s="413"/>
      <c r="K3" s="414">
        <f>IF(I3="ДА",($C$6+$C$7)*J3,0)</f>
        <v>0</v>
      </c>
      <c r="L3" s="411"/>
    </row>
    <row r="4" spans="1:12" ht="12" customHeight="1">
      <c r="A4" s="501"/>
      <c r="B4" s="610" t="s">
        <v>638</v>
      </c>
      <c r="C4" s="715">
        <v>0</v>
      </c>
      <c r="D4" s="1067"/>
      <c r="E4" s="1053"/>
      <c r="F4" s="1054"/>
      <c r="G4" s="535"/>
      <c r="H4" s="514" t="s">
        <v>566</v>
      </c>
      <c r="I4" s="720" t="str">
        <f>IF(AND($C$8+$C$9=1,$C$10+$C$11=0,$C$12=3),"ДА","НЕТ")</f>
        <v>НЕТ</v>
      </c>
      <c r="J4" s="420"/>
      <c r="K4" s="414">
        <f t="shared" ref="K4:K15" si="0">IF(I4="ДА",($C$6+$C$7)*J4,0)</f>
        <v>0</v>
      </c>
      <c r="L4" s="411"/>
    </row>
    <row r="5" spans="1:12" ht="12" customHeight="1" thickBot="1">
      <c r="A5" s="501"/>
      <c r="B5" s="508" t="s">
        <v>639</v>
      </c>
      <c r="C5" s="555">
        <v>0</v>
      </c>
      <c r="D5" s="1050"/>
      <c r="E5" s="1051"/>
      <c r="F5" s="1052"/>
      <c r="G5" s="535"/>
      <c r="H5" s="514" t="s">
        <v>671</v>
      </c>
      <c r="I5" s="720" t="str">
        <f>IF(AND($C$8+$C$9=1,$C$10+$C$11=0,$C$12=3),"ДА","НЕТ")</f>
        <v>НЕТ</v>
      </c>
      <c r="J5" s="420"/>
      <c r="K5" s="414">
        <f t="shared" si="0"/>
        <v>0</v>
      </c>
      <c r="L5" s="411"/>
    </row>
    <row r="6" spans="1:12" ht="12" customHeight="1">
      <c r="A6" s="501"/>
      <c r="B6" s="503" t="s">
        <v>640</v>
      </c>
      <c r="C6" s="682">
        <v>0</v>
      </c>
      <c r="D6" s="1047" t="s">
        <v>677</v>
      </c>
      <c r="E6" s="1048"/>
      <c r="F6" s="1049"/>
      <c r="G6" s="535"/>
      <c r="H6" s="514" t="s">
        <v>567</v>
      </c>
      <c r="I6" s="720" t="str">
        <f>IF(AND($C$8+$C$9=1,$C$10+$C$11=0,$C$12=2),"ДА","НЕТ")</f>
        <v>НЕТ</v>
      </c>
      <c r="J6" s="420"/>
      <c r="K6" s="414">
        <f t="shared" si="0"/>
        <v>0</v>
      </c>
      <c r="L6" s="411"/>
    </row>
    <row r="7" spans="1:12" ht="12" customHeight="1" thickBot="1">
      <c r="A7" s="501"/>
      <c r="B7" s="536" t="s">
        <v>641</v>
      </c>
      <c r="C7" s="684">
        <v>0</v>
      </c>
      <c r="D7" s="1050"/>
      <c r="E7" s="1051"/>
      <c r="F7" s="1052"/>
      <c r="G7" s="535"/>
      <c r="H7" s="514" t="s">
        <v>568</v>
      </c>
      <c r="I7" s="720" t="str">
        <f>IF(AND($C$8+$C$9=1,$C$10+$C$11=0,$C$12=2),"ДА","НЕТ")</f>
        <v>НЕТ</v>
      </c>
      <c r="J7" s="420"/>
      <c r="K7" s="414">
        <f t="shared" si="0"/>
        <v>0</v>
      </c>
      <c r="L7" s="411"/>
    </row>
    <row r="8" spans="1:12" ht="12" customHeight="1">
      <c r="A8" s="501"/>
      <c r="B8" s="515" t="s">
        <v>578</v>
      </c>
      <c r="C8" s="645">
        <v>0</v>
      </c>
      <c r="D8" s="518" t="s">
        <v>365</v>
      </c>
      <c r="E8" s="519" t="s">
        <v>327</v>
      </c>
      <c r="F8" s="1056" t="s">
        <v>677</v>
      </c>
      <c r="G8" s="535"/>
      <c r="H8" s="514" t="s">
        <v>574</v>
      </c>
      <c r="I8" s="720" t="str">
        <f>IF(AND($C$8+$C$9=1,$C$10+$C$11=0,$C$12=2),"ДА","НЕТ")</f>
        <v>НЕТ</v>
      </c>
      <c r="J8" s="420"/>
      <c r="K8" s="414">
        <f t="shared" si="0"/>
        <v>0</v>
      </c>
      <c r="L8" s="411"/>
    </row>
    <row r="9" spans="1:12" ht="12" customHeight="1">
      <c r="A9" s="501"/>
      <c r="B9" s="513" t="s">
        <v>579</v>
      </c>
      <c r="C9" s="557">
        <v>0</v>
      </c>
      <c r="D9" s="520" t="s">
        <v>365</v>
      </c>
      <c r="E9" s="521" t="s">
        <v>327</v>
      </c>
      <c r="F9" s="1056"/>
      <c r="G9" s="535"/>
      <c r="H9" s="509" t="s">
        <v>670</v>
      </c>
      <c r="I9" s="720" t="str">
        <f>IF(AND($C$8+$C$9=1,$C$10+$C$11=0,$C$12=1),"ДА","НЕТ")</f>
        <v>НЕТ</v>
      </c>
      <c r="J9" s="413"/>
      <c r="K9" s="414">
        <f t="shared" si="0"/>
        <v>0</v>
      </c>
      <c r="L9" s="411"/>
    </row>
    <row r="10" spans="1:12" ht="12" customHeight="1">
      <c r="A10" s="501"/>
      <c r="B10" s="515" t="s">
        <v>580</v>
      </c>
      <c r="C10" s="558">
        <v>0</v>
      </c>
      <c r="D10" s="518" t="s">
        <v>365</v>
      </c>
      <c r="E10" s="519" t="s">
        <v>327</v>
      </c>
      <c r="F10" s="1056"/>
      <c r="G10" s="535"/>
      <c r="H10" s="509" t="s">
        <v>462</v>
      </c>
      <c r="I10" s="720" t="str">
        <f>IF(AND($C$8+$C$9=0,$C$10+$C$11=1,$C$12=1),"ДА","НЕТ")</f>
        <v>НЕТ</v>
      </c>
      <c r="J10" s="420"/>
      <c r="K10" s="414">
        <f t="shared" si="0"/>
        <v>0</v>
      </c>
      <c r="L10" s="411"/>
    </row>
    <row r="11" spans="1:12" ht="12" customHeight="1" thickBot="1">
      <c r="A11" s="501"/>
      <c r="B11" s="508" t="s">
        <v>581</v>
      </c>
      <c r="C11" s="559">
        <v>0</v>
      </c>
      <c r="D11" s="523" t="s">
        <v>365</v>
      </c>
      <c r="E11" s="524" t="s">
        <v>327</v>
      </c>
      <c r="F11" s="1057"/>
      <c r="G11" s="535"/>
      <c r="H11" s="512" t="s">
        <v>463</v>
      </c>
      <c r="I11" s="720" t="str">
        <f>IF(AND($C$8+$C$9=0,$C$10+$C$11=1,$C$12=1),"ДА","НЕТ")</f>
        <v>НЕТ</v>
      </c>
      <c r="J11" s="420"/>
      <c r="K11" s="414">
        <f t="shared" si="0"/>
        <v>0</v>
      </c>
      <c r="L11" s="411"/>
    </row>
    <row r="12" spans="1:12" ht="12" customHeight="1" thickBot="1">
      <c r="A12" s="501"/>
      <c r="B12" s="525" t="s">
        <v>669</v>
      </c>
      <c r="C12" s="644">
        <v>0</v>
      </c>
      <c r="D12" s="529" t="s">
        <v>699</v>
      </c>
      <c r="E12" s="530" t="s">
        <v>700</v>
      </c>
      <c r="F12" s="740" t="s">
        <v>701</v>
      </c>
      <c r="G12" s="535"/>
      <c r="H12" s="512" t="s">
        <v>464</v>
      </c>
      <c r="I12" s="720" t="str">
        <f>IF(AND($C$8+$C$9=0,$C$10+$C$11=1,$C$12=1),"ДА","НЕТ")</f>
        <v>НЕТ</v>
      </c>
      <c r="J12" s="423"/>
      <c r="K12" s="414">
        <f t="shared" si="0"/>
        <v>0</v>
      </c>
      <c r="L12" s="411"/>
    </row>
    <row r="13" spans="1:12" ht="12" customHeight="1">
      <c r="A13" s="501"/>
      <c r="B13" s="515" t="s">
        <v>476</v>
      </c>
      <c r="C13" s="558">
        <v>0</v>
      </c>
      <c r="D13" s="516" t="s">
        <v>365</v>
      </c>
      <c r="E13" s="517" t="s">
        <v>327</v>
      </c>
      <c r="F13" s="1068" t="s">
        <v>677</v>
      </c>
      <c r="G13" s="535"/>
      <c r="H13" s="509" t="s">
        <v>467</v>
      </c>
      <c r="I13" s="720" t="str">
        <f>IF(AND($C$8+$C$9=0,$C$10+$C$11=1,$C$12=2),"ДА","НЕТ")</f>
        <v>НЕТ</v>
      </c>
      <c r="J13" s="420"/>
      <c r="K13" s="414">
        <f t="shared" si="0"/>
        <v>0</v>
      </c>
      <c r="L13" s="411"/>
    </row>
    <row r="14" spans="1:12" ht="12" customHeight="1" thickBot="1">
      <c r="A14" s="501"/>
      <c r="B14" s="508" t="s">
        <v>477</v>
      </c>
      <c r="C14" s="559">
        <v>0</v>
      </c>
      <c r="D14" s="523" t="s">
        <v>365</v>
      </c>
      <c r="E14" s="524" t="s">
        <v>327</v>
      </c>
      <c r="F14" s="1069"/>
      <c r="G14" s="535"/>
      <c r="H14" s="512" t="s">
        <v>468</v>
      </c>
      <c r="I14" s="720" t="str">
        <f>IF(AND($C$8+$C$9=0,$C$10+$C$11=1,$C$12=2),"ДА","НЕТ")</f>
        <v>НЕТ</v>
      </c>
      <c r="J14" s="420"/>
      <c r="K14" s="414">
        <f t="shared" si="0"/>
        <v>0</v>
      </c>
      <c r="L14" s="411"/>
    </row>
    <row r="15" spans="1:12" ht="12" customHeight="1" thickBot="1">
      <c r="A15" s="501"/>
      <c r="B15" s="503" t="s">
        <v>205</v>
      </c>
      <c r="C15" s="560">
        <v>0</v>
      </c>
      <c r="D15" s="1058" t="s">
        <v>766</v>
      </c>
      <c r="E15" s="1059"/>
      <c r="F15" s="1060"/>
      <c r="G15" s="535"/>
      <c r="H15" s="533" t="s">
        <v>469</v>
      </c>
      <c r="I15" s="730" t="str">
        <f>IF(AND($C$8+$C$9=0,$C$10+$C$11=1,$C$12=2),"ДА","НЕТ")</f>
        <v>НЕТ</v>
      </c>
      <c r="J15" s="427"/>
      <c r="K15" s="571">
        <f t="shared" si="0"/>
        <v>0</v>
      </c>
      <c r="L15" s="411"/>
    </row>
    <row r="16" spans="1:12" ht="12" customHeight="1" thickBot="1">
      <c r="A16" s="501"/>
      <c r="B16" s="508" t="s">
        <v>204</v>
      </c>
      <c r="C16" s="559">
        <v>0</v>
      </c>
      <c r="D16" s="1064" t="s">
        <v>767</v>
      </c>
      <c r="E16" s="1065"/>
      <c r="F16" s="1066"/>
      <c r="G16" s="535"/>
      <c r="H16" s="660"/>
      <c r="I16" s="825"/>
      <c r="J16" s="431"/>
      <c r="K16" s="432"/>
      <c r="L16" s="411"/>
    </row>
    <row r="17" spans="1:12" ht="12" customHeight="1" thickBot="1">
      <c r="A17" s="501"/>
      <c r="B17" s="735"/>
      <c r="C17" s="735"/>
      <c r="D17" s="735"/>
      <c r="E17" s="735"/>
      <c r="F17" s="535"/>
      <c r="G17" s="535"/>
      <c r="H17" s="660"/>
      <c r="I17" s="825"/>
      <c r="J17" s="431"/>
      <c r="K17" s="432"/>
      <c r="L17" s="411"/>
    </row>
    <row r="18" spans="1:12" ht="12" customHeight="1" thickBot="1">
      <c r="A18" s="501"/>
      <c r="B18" s="590" t="s">
        <v>5</v>
      </c>
      <c r="C18" s="591" t="s">
        <v>0</v>
      </c>
      <c r="D18" s="592" t="s">
        <v>4</v>
      </c>
      <c r="E18" s="593" t="s">
        <v>8</v>
      </c>
      <c r="F18" s="535"/>
      <c r="G18" s="535"/>
      <c r="H18" s="535"/>
      <c r="I18" s="535"/>
      <c r="J18" s="535"/>
      <c r="K18" s="535"/>
      <c r="L18" s="411"/>
    </row>
    <row r="19" spans="1:12" ht="12" customHeight="1">
      <c r="A19" s="501"/>
      <c r="B19" s="547" t="s">
        <v>480</v>
      </c>
      <c r="C19" s="442">
        <f>(C2+C3)*(C6+C7)</f>
        <v>0</v>
      </c>
      <c r="D19" s="449"/>
      <c r="E19" s="439">
        <f t="shared" ref="E19:E43" si="1">C19*D19</f>
        <v>0</v>
      </c>
      <c r="F19" s="535"/>
      <c r="G19" s="535"/>
      <c r="H19" s="535"/>
      <c r="I19" s="535"/>
      <c r="J19" s="535"/>
      <c r="K19" s="535"/>
      <c r="L19" s="411"/>
    </row>
    <row r="20" spans="1:12" ht="12" customHeight="1">
      <c r="A20" s="501"/>
      <c r="B20" s="547" t="s">
        <v>481</v>
      </c>
      <c r="C20" s="442">
        <f>IF(C14=1,(C2+C3)*(C6+C7),0)</f>
        <v>0</v>
      </c>
      <c r="D20" s="449"/>
      <c r="E20" s="439">
        <f t="shared" si="1"/>
        <v>0</v>
      </c>
      <c r="F20" s="535"/>
      <c r="G20" s="535"/>
      <c r="H20" s="535"/>
      <c r="I20" s="535"/>
      <c r="J20" s="535"/>
      <c r="K20" s="535"/>
      <c r="L20" s="411"/>
    </row>
    <row r="21" spans="1:12" ht="12" customHeight="1">
      <c r="A21" s="501"/>
      <c r="B21" s="545" t="s">
        <v>478</v>
      </c>
      <c r="C21" s="437">
        <f>IF(AND(C13=1,C14=0),(C6+C7)*4,0)</f>
        <v>0</v>
      </c>
      <c r="D21" s="449"/>
      <c r="E21" s="439">
        <f t="shared" si="1"/>
        <v>0</v>
      </c>
      <c r="F21" s="535"/>
      <c r="G21" s="535"/>
      <c r="H21" s="535"/>
      <c r="I21" s="535"/>
      <c r="J21" s="535"/>
      <c r="K21" s="535"/>
      <c r="L21" s="411"/>
    </row>
    <row r="22" spans="1:12" ht="12" customHeight="1">
      <c r="A22" s="501"/>
      <c r="B22" s="545" t="s">
        <v>479</v>
      </c>
      <c r="C22" s="437">
        <f>IF(AND(C13=0,C14=1),(C6+C7)*2,0)</f>
        <v>0</v>
      </c>
      <c r="D22" s="449"/>
      <c r="E22" s="439">
        <f t="shared" si="1"/>
        <v>0</v>
      </c>
      <c r="F22" s="535"/>
      <c r="G22" s="535"/>
      <c r="H22" s="535"/>
      <c r="I22" s="535"/>
      <c r="J22" s="535"/>
      <c r="K22" s="535"/>
      <c r="L22" s="411"/>
    </row>
    <row r="23" spans="1:12" ht="12" customHeight="1">
      <c r="A23" s="501"/>
      <c r="B23" s="547" t="s">
        <v>721</v>
      </c>
      <c r="C23" s="442">
        <f>EVEN(ROUNDDOWN(IF((C6+C7)&gt;0,((C2+C3)/0.5)*(C6+C7),0),0))</f>
        <v>0</v>
      </c>
      <c r="D23" s="443"/>
      <c r="E23" s="439">
        <f t="shared" si="1"/>
        <v>0</v>
      </c>
      <c r="F23" s="535"/>
      <c r="G23" s="535"/>
      <c r="H23" s="535"/>
      <c r="I23" s="535"/>
      <c r="J23" s="535"/>
      <c r="K23" s="535"/>
      <c r="L23" s="411"/>
    </row>
    <row r="24" spans="1:12" ht="12" customHeight="1">
      <c r="A24" s="501"/>
      <c r="B24" s="545" t="s">
        <v>756</v>
      </c>
      <c r="C24" s="450">
        <f>(C2+C3)*(C6+C7)</f>
        <v>0</v>
      </c>
      <c r="D24" s="443"/>
      <c r="E24" s="439">
        <f t="shared" si="1"/>
        <v>0</v>
      </c>
      <c r="F24" s="535"/>
      <c r="G24" s="535"/>
      <c r="H24" s="535"/>
      <c r="I24" s="535"/>
      <c r="J24" s="535"/>
      <c r="K24" s="535"/>
      <c r="L24" s="411"/>
    </row>
    <row r="25" spans="1:12" ht="12" customHeight="1">
      <c r="A25" s="501"/>
      <c r="B25" s="547" t="s">
        <v>635</v>
      </c>
      <c r="C25" s="442">
        <f>C6+C7</f>
        <v>0</v>
      </c>
      <c r="D25" s="449"/>
      <c r="E25" s="439">
        <f t="shared" si="1"/>
        <v>0</v>
      </c>
      <c r="F25" s="535"/>
      <c r="G25" s="535"/>
      <c r="H25" s="535"/>
      <c r="I25" s="535"/>
      <c r="J25" s="535"/>
      <c r="K25" s="535"/>
      <c r="L25" s="411"/>
    </row>
    <row r="26" spans="1:12" ht="12" customHeight="1">
      <c r="A26" s="501"/>
      <c r="B26" s="547" t="s">
        <v>499</v>
      </c>
      <c r="C26" s="442">
        <f>IF((C8+C9)&gt;0,(C6+C7)*2,0)</f>
        <v>0</v>
      </c>
      <c r="D26" s="449"/>
      <c r="E26" s="439">
        <f t="shared" si="1"/>
        <v>0</v>
      </c>
      <c r="F26" s="535"/>
      <c r="G26" s="535"/>
      <c r="H26" s="535"/>
      <c r="I26" s="535"/>
      <c r="J26" s="535"/>
      <c r="K26" s="535"/>
      <c r="L26" s="411"/>
    </row>
    <row r="27" spans="1:12" ht="12" customHeight="1">
      <c r="A27" s="501"/>
      <c r="B27" s="547" t="s">
        <v>593</v>
      </c>
      <c r="C27" s="442">
        <f>IF((C10+C11)&gt;0,(C6+C7)*2,0)</f>
        <v>0</v>
      </c>
      <c r="D27" s="449"/>
      <c r="E27" s="439">
        <f t="shared" si="1"/>
        <v>0</v>
      </c>
      <c r="F27" s="535"/>
      <c r="G27" s="535"/>
      <c r="H27" s="535"/>
      <c r="I27" s="535"/>
      <c r="J27" s="535"/>
      <c r="K27" s="535"/>
      <c r="L27" s="411"/>
    </row>
    <row r="28" spans="1:12" ht="12" customHeight="1">
      <c r="A28" s="501"/>
      <c r="B28" s="545" t="s">
        <v>759</v>
      </c>
      <c r="C28" s="445">
        <f>(C6+C7)*2</f>
        <v>0</v>
      </c>
      <c r="D28" s="494"/>
      <c r="E28" s="439">
        <f t="shared" si="1"/>
        <v>0</v>
      </c>
      <c r="F28" s="535"/>
      <c r="G28" s="535"/>
      <c r="H28" s="535"/>
      <c r="I28" s="535"/>
      <c r="J28" s="535"/>
      <c r="K28" s="535"/>
      <c r="L28" s="411"/>
    </row>
    <row r="29" spans="1:12" ht="12" customHeight="1">
      <c r="A29" s="501"/>
      <c r="B29" s="547" t="s">
        <v>724</v>
      </c>
      <c r="C29" s="442">
        <f>(C6+C7)*3</f>
        <v>0</v>
      </c>
      <c r="D29" s="443"/>
      <c r="E29" s="439">
        <v>0</v>
      </c>
      <c r="F29" s="535"/>
      <c r="G29" s="535"/>
      <c r="H29" s="535"/>
      <c r="I29" s="535"/>
      <c r="J29" s="535"/>
      <c r="K29" s="535"/>
      <c r="L29" s="411"/>
    </row>
    <row r="30" spans="1:12" ht="12" customHeight="1">
      <c r="A30" s="501"/>
      <c r="B30" s="776" t="s">
        <v>503</v>
      </c>
      <c r="C30" s="495">
        <f>(C6+C7)*6</f>
        <v>0</v>
      </c>
      <c r="D30" s="352"/>
      <c r="E30" s="362">
        <v>0</v>
      </c>
      <c r="F30" s="535"/>
      <c r="G30" s="535"/>
      <c r="H30" s="535"/>
      <c r="I30" s="535"/>
      <c r="J30" s="535"/>
      <c r="K30" s="535"/>
      <c r="L30" s="411"/>
    </row>
    <row r="31" spans="1:12" ht="12" customHeight="1">
      <c r="A31" s="501"/>
      <c r="B31" s="547" t="s">
        <v>511</v>
      </c>
      <c r="C31" s="437">
        <f>C6*2</f>
        <v>0</v>
      </c>
      <c r="D31" s="492"/>
      <c r="E31" s="439">
        <f t="shared" si="1"/>
        <v>0</v>
      </c>
      <c r="F31" s="535"/>
      <c r="G31" s="535"/>
      <c r="H31" s="535"/>
      <c r="I31" s="535"/>
      <c r="J31" s="535"/>
      <c r="K31" s="535"/>
      <c r="L31" s="411"/>
    </row>
    <row r="32" spans="1:12" ht="12" customHeight="1">
      <c r="A32" s="501"/>
      <c r="B32" s="547" t="s">
        <v>512</v>
      </c>
      <c r="C32" s="442">
        <f>C6*4</f>
        <v>0</v>
      </c>
      <c r="D32" s="449"/>
      <c r="E32" s="439">
        <f t="shared" si="1"/>
        <v>0</v>
      </c>
      <c r="F32" s="535"/>
      <c r="G32" s="535"/>
      <c r="H32" s="535"/>
      <c r="I32" s="535"/>
      <c r="J32" s="535"/>
      <c r="K32" s="535"/>
      <c r="L32" s="411"/>
    </row>
    <row r="33" spans="1:12" ht="12" customHeight="1">
      <c r="A33" s="501"/>
      <c r="B33" s="547" t="s">
        <v>513</v>
      </c>
      <c r="C33" s="442">
        <f>C7*2</f>
        <v>0</v>
      </c>
      <c r="D33" s="449"/>
      <c r="E33" s="439">
        <f t="shared" si="1"/>
        <v>0</v>
      </c>
      <c r="F33" s="535"/>
      <c r="G33" s="535"/>
      <c r="H33" s="535"/>
      <c r="I33" s="535"/>
      <c r="J33" s="535"/>
      <c r="K33" s="535"/>
      <c r="L33" s="411"/>
    </row>
    <row r="34" spans="1:12" ht="12" customHeight="1">
      <c r="A34" s="501"/>
      <c r="B34" s="545" t="s">
        <v>553</v>
      </c>
      <c r="C34" s="442">
        <f>(C2+C3)*(C6+C7)*2</f>
        <v>0</v>
      </c>
      <c r="D34" s="449"/>
      <c r="E34" s="439">
        <f t="shared" si="1"/>
        <v>0</v>
      </c>
      <c r="F34" s="535"/>
      <c r="G34" s="535"/>
      <c r="H34" s="535"/>
      <c r="I34" s="535"/>
      <c r="J34" s="535"/>
      <c r="K34" s="535"/>
      <c r="L34" s="411"/>
    </row>
    <row r="35" spans="1:12" ht="12" customHeight="1">
      <c r="A35" s="501"/>
      <c r="B35" s="545" t="s">
        <v>540</v>
      </c>
      <c r="C35" s="450">
        <f>IF(AND(C6&gt;0,C7=0),(C2+C3)*C6,0)</f>
        <v>0</v>
      </c>
      <c r="D35" s="449"/>
      <c r="E35" s="439">
        <f t="shared" si="1"/>
        <v>0</v>
      </c>
      <c r="F35" s="535"/>
      <c r="G35" s="535"/>
      <c r="H35" s="535"/>
      <c r="I35" s="535"/>
      <c r="J35" s="535"/>
      <c r="K35" s="535"/>
      <c r="L35" s="411"/>
    </row>
    <row r="36" spans="1:12" ht="12" customHeight="1">
      <c r="A36" s="501"/>
      <c r="B36" s="545" t="s">
        <v>541</v>
      </c>
      <c r="C36" s="450">
        <f>IF(AND(C7&gt;0,C6=0),(C2+C3)*C6,0)</f>
        <v>0</v>
      </c>
      <c r="D36" s="449"/>
      <c r="E36" s="439">
        <f t="shared" si="1"/>
        <v>0</v>
      </c>
      <c r="F36" s="535"/>
      <c r="G36" s="535"/>
      <c r="H36" s="535"/>
      <c r="I36" s="535"/>
      <c r="J36" s="535"/>
      <c r="K36" s="535"/>
      <c r="L36" s="411"/>
    </row>
    <row r="37" spans="1:12" ht="12" customHeight="1">
      <c r="A37" s="501"/>
      <c r="B37" s="547" t="s">
        <v>727</v>
      </c>
      <c r="C37" s="450">
        <f>(C6+C7)*2</f>
        <v>0</v>
      </c>
      <c r="D37" s="449"/>
      <c r="E37" s="439">
        <f t="shared" si="1"/>
        <v>0</v>
      </c>
      <c r="F37" s="535"/>
      <c r="G37" s="535"/>
      <c r="H37" s="535"/>
      <c r="I37" s="535"/>
      <c r="J37" s="535"/>
      <c r="K37" s="535"/>
      <c r="L37" s="411"/>
    </row>
    <row r="38" spans="1:12" ht="12" customHeight="1">
      <c r="A38" s="501"/>
      <c r="B38" s="548" t="s">
        <v>456</v>
      </c>
      <c r="C38" s="450">
        <f>C8*C6*2</f>
        <v>0</v>
      </c>
      <c r="D38" s="449"/>
      <c r="E38" s="439">
        <f t="shared" si="1"/>
        <v>0</v>
      </c>
      <c r="F38" s="535"/>
      <c r="G38" s="535"/>
      <c r="H38" s="535"/>
      <c r="I38" s="535"/>
      <c r="J38" s="535"/>
      <c r="K38" s="535"/>
      <c r="L38" s="411"/>
    </row>
    <row r="39" spans="1:12" ht="12" customHeight="1">
      <c r="A39" s="501"/>
      <c r="B39" s="548" t="s">
        <v>678</v>
      </c>
      <c r="C39" s="450">
        <f>C10*C8*2</f>
        <v>0</v>
      </c>
      <c r="D39" s="449"/>
      <c r="E39" s="439">
        <f t="shared" si="1"/>
        <v>0</v>
      </c>
      <c r="F39" s="535"/>
      <c r="G39" s="535"/>
      <c r="H39" s="535"/>
      <c r="I39" s="535"/>
      <c r="J39" s="535"/>
      <c r="K39" s="535"/>
      <c r="L39" s="411"/>
    </row>
    <row r="40" spans="1:12" ht="12" customHeight="1">
      <c r="A40" s="501"/>
      <c r="B40" s="548" t="s">
        <v>515</v>
      </c>
      <c r="C40" s="450">
        <f>C9*C7*2</f>
        <v>0</v>
      </c>
      <c r="D40" s="449"/>
      <c r="E40" s="439">
        <f t="shared" si="1"/>
        <v>0</v>
      </c>
      <c r="F40" s="535"/>
      <c r="G40" s="535"/>
      <c r="H40" s="535"/>
      <c r="I40" s="535"/>
      <c r="J40" s="535"/>
      <c r="K40" s="535"/>
      <c r="L40" s="411"/>
    </row>
    <row r="41" spans="1:12" ht="12" customHeight="1">
      <c r="A41" s="501"/>
      <c r="B41" s="621" t="s">
        <v>203</v>
      </c>
      <c r="C41" s="602">
        <f>C16</f>
        <v>0</v>
      </c>
      <c r="D41" s="618"/>
      <c r="E41" s="496">
        <f t="shared" si="1"/>
        <v>0</v>
      </c>
      <c r="F41" s="535"/>
      <c r="G41" s="535"/>
      <c r="H41" s="535"/>
      <c r="I41" s="535"/>
      <c r="J41" s="535"/>
      <c r="K41" s="535"/>
      <c r="L41" s="411"/>
    </row>
    <row r="42" spans="1:12" ht="12" customHeight="1">
      <c r="A42" s="501"/>
      <c r="B42" s="621" t="s">
        <v>206</v>
      </c>
      <c r="C42" s="602">
        <f>C15</f>
        <v>0</v>
      </c>
      <c r="D42" s="618"/>
      <c r="E42" s="496">
        <f t="shared" si="1"/>
        <v>0</v>
      </c>
      <c r="F42" s="535"/>
      <c r="G42" s="535"/>
      <c r="H42" s="535"/>
      <c r="I42" s="535"/>
      <c r="J42" s="535"/>
      <c r="K42" s="535"/>
      <c r="L42" s="411"/>
    </row>
    <row r="43" spans="1:12" ht="12" customHeight="1" thickBot="1">
      <c r="A43" s="501"/>
      <c r="B43" s="550" t="s">
        <v>679</v>
      </c>
      <c r="C43" s="498">
        <f>C11*C7*2</f>
        <v>0</v>
      </c>
      <c r="D43" s="569"/>
      <c r="E43" s="500">
        <f t="shared" si="1"/>
        <v>0</v>
      </c>
      <c r="F43" s="535"/>
      <c r="G43" s="535"/>
      <c r="H43" s="535"/>
      <c r="I43" s="535"/>
      <c r="J43" s="535"/>
      <c r="K43" s="535"/>
      <c r="L43" s="411"/>
    </row>
    <row r="44" spans="1:12" ht="12" customHeight="1" thickBot="1">
      <c r="A44" s="501"/>
      <c r="B44" s="535"/>
      <c r="C44" s="535"/>
      <c r="D44" s="551" t="s">
        <v>9</v>
      </c>
      <c r="E44" s="623">
        <f>SUMIF(E19:E43,"&gt;0",E19:E43)</f>
        <v>0</v>
      </c>
      <c r="F44" s="535"/>
      <c r="G44" s="535"/>
      <c r="H44" s="535"/>
      <c r="I44" s="535"/>
      <c r="J44" s="535"/>
      <c r="K44" s="535"/>
      <c r="L44" s="411"/>
    </row>
    <row r="45" spans="1:12">
      <c r="A45" s="501"/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411"/>
    </row>
    <row r="46" spans="1:12">
      <c r="A46" s="501"/>
      <c r="B46" s="535"/>
      <c r="C46" s="535"/>
      <c r="D46" s="535"/>
      <c r="E46" s="535"/>
      <c r="F46" s="535"/>
      <c r="G46" s="535"/>
      <c r="H46" s="535"/>
      <c r="I46" s="535"/>
      <c r="J46" s="535"/>
      <c r="K46" s="535"/>
      <c r="L46" s="411"/>
    </row>
    <row r="47" spans="1:12" ht="11.25" customHeight="1">
      <c r="A47" s="501"/>
      <c r="B47" s="535"/>
      <c r="C47" s="535"/>
      <c r="D47" s="535"/>
      <c r="E47" s="535"/>
      <c r="F47" s="535"/>
      <c r="G47" s="535"/>
      <c r="H47" s="535"/>
      <c r="I47" s="535"/>
      <c r="J47" s="535"/>
      <c r="K47" s="535"/>
      <c r="L47" s="411"/>
    </row>
    <row r="48" spans="1:12">
      <c r="A48" s="501"/>
      <c r="B48" s="535"/>
      <c r="C48" s="535"/>
      <c r="D48" s="535"/>
      <c r="E48" s="535"/>
      <c r="F48" s="535"/>
      <c r="G48" s="535"/>
      <c r="H48" s="535"/>
      <c r="I48" s="535"/>
      <c r="J48" s="535"/>
      <c r="K48" s="535"/>
      <c r="L48" s="411"/>
    </row>
    <row r="49" spans="2:12">
      <c r="B49" s="411"/>
      <c r="C49" s="411"/>
      <c r="D49" s="411"/>
      <c r="E49" s="411"/>
      <c r="F49" s="411"/>
      <c r="G49" s="411"/>
      <c r="H49" s="411"/>
      <c r="I49" s="411"/>
      <c r="J49" s="411"/>
      <c r="K49" s="411"/>
      <c r="L49" s="411"/>
    </row>
    <row r="50" spans="2:12">
      <c r="B50" s="411"/>
      <c r="C50" s="411"/>
      <c r="D50" s="411"/>
      <c r="E50" s="411"/>
      <c r="F50" s="411"/>
      <c r="G50" s="411"/>
      <c r="H50" s="411"/>
      <c r="I50" s="411"/>
      <c r="J50" s="411"/>
      <c r="K50" s="411"/>
      <c r="L50" s="411"/>
    </row>
    <row r="52" spans="2:12" ht="11.25" customHeight="1"/>
  </sheetData>
  <sheetProtection algorithmName="SHA-512" hashValue="wrPzY2FAyuE8x2dO7FrHyTLOyVhKNQZtfP9d8JHefRMAuXhMKh5wpDOnOKkzW/PY9XszYfE/op4jWdbicCO3BA==" saltValue="I9FmkfCVGZ3GNp1hrv9ZIQ==" spinCount="100000" sheet="1"/>
  <mergeCells count="7">
    <mergeCell ref="B1:E1"/>
    <mergeCell ref="D15:F15"/>
    <mergeCell ref="D16:F16"/>
    <mergeCell ref="D2:F5"/>
    <mergeCell ref="D6:F7"/>
    <mergeCell ref="F8:F11"/>
    <mergeCell ref="F13:F14"/>
  </mergeCells>
  <conditionalFormatting sqref="C12">
    <cfRule type="cellIs" dxfId="76" priority="34" operator="greaterThan">
      <formula>0</formula>
    </cfRule>
  </conditionalFormatting>
  <conditionalFormatting sqref="C12">
    <cfRule type="cellIs" dxfId="75" priority="35" operator="greaterThan">
      <formula>0</formula>
    </cfRule>
  </conditionalFormatting>
  <conditionalFormatting sqref="C12">
    <cfRule type="cellIs" dxfId="74" priority="39" operator="greaterThan">
      <formula>0</formula>
    </cfRule>
  </conditionalFormatting>
  <conditionalFormatting sqref="C12">
    <cfRule type="cellIs" dxfId="73" priority="38" operator="greaterThan">
      <formula>0</formula>
    </cfRule>
  </conditionalFormatting>
  <conditionalFormatting sqref="C12">
    <cfRule type="cellIs" dxfId="72" priority="37" operator="greaterThan">
      <formula>0</formula>
    </cfRule>
  </conditionalFormatting>
  <conditionalFormatting sqref="C12">
    <cfRule type="cellIs" dxfId="71" priority="36" operator="greaterThan">
      <formula>0</formula>
    </cfRule>
  </conditionalFormatting>
  <conditionalFormatting sqref="J3:K17">
    <cfRule type="cellIs" dxfId="70" priority="6" operator="greaterThan">
      <formula>0</formula>
    </cfRule>
    <cfRule type="cellIs" dxfId="69" priority="10" operator="greaterThan">
      <formula>0</formula>
    </cfRule>
  </conditionalFormatting>
  <conditionalFormatting sqref="J3:J17">
    <cfRule type="cellIs" dxfId="68" priority="11" operator="greaterThan">
      <formula>0</formula>
    </cfRule>
    <cfRule type="cellIs" dxfId="67" priority="12" operator="greaterThan">
      <formula>0</formula>
    </cfRule>
  </conditionalFormatting>
  <conditionalFormatting sqref="H10:H12">
    <cfRule type="iconSet" priority="32">
      <iconSet iconSet="3Symbols">
        <cfvo type="percent" val="0"/>
        <cfvo type="percent" val="33"/>
        <cfvo type="percent" val="67"/>
      </iconSet>
    </cfRule>
    <cfRule type="expression" priority="33">
      <formula>"H71=1"</formula>
    </cfRule>
  </conditionalFormatting>
  <conditionalFormatting sqref="H10">
    <cfRule type="iconSet" priority="31">
      <iconSet iconSet="3Symbols">
        <cfvo type="percent" val="0"/>
        <cfvo type="percent" val="33"/>
        <cfvo type="percent" val="67"/>
      </iconSet>
    </cfRule>
  </conditionalFormatting>
  <conditionalFormatting sqref="I3:I4 I6:I8 I10:I17">
    <cfRule type="cellIs" dxfId="66" priority="28" operator="equal">
      <formula>"ДА"</formula>
    </cfRule>
    <cfRule type="cellIs" dxfId="65" priority="29" operator="equal">
      <formula>"НЕТ"</formula>
    </cfRule>
  </conditionalFormatting>
  <conditionalFormatting sqref="I3:I4 I6:I8">
    <cfRule type="colorScale" priority="30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64" priority="25" operator="equal">
      <formula>"ДА"</formula>
    </cfRule>
    <cfRule type="cellIs" dxfId="63" priority="26" operator="equal">
      <formula>"НЕТ"</formula>
    </cfRule>
  </conditionalFormatting>
  <conditionalFormatting sqref="I5">
    <cfRule type="cellIs" dxfId="62" priority="22" operator="equal">
      <formula>"ДА"</formula>
    </cfRule>
    <cfRule type="cellIs" dxfId="61" priority="23" operator="equal">
      <formula>"НЕТ"</formula>
    </cfRule>
  </conditionalFormatting>
  <conditionalFormatting sqref="I9">
    <cfRule type="colorScale" priority="27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60" priority="18" operator="equal">
      <formula>"ДА"</formula>
    </cfRule>
    <cfRule type="cellIs" dxfId="59" priority="19" operator="equal">
      <formula>"НЕТ"</formula>
    </cfRule>
  </conditionalFormatting>
  <conditionalFormatting sqref="I5">
    <cfRule type="colorScale" priority="24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20">
      <iconSet iconSet="3Symbols">
        <cfvo type="percent" val="0"/>
        <cfvo type="percent" val="33"/>
        <cfvo type="percent" val="67"/>
      </iconSet>
    </cfRule>
    <cfRule type="expression" priority="21">
      <formula>"H71=1"</formula>
    </cfRule>
  </conditionalFormatting>
  <conditionalFormatting sqref="I14">
    <cfRule type="cellIs" dxfId="58" priority="14" operator="equal">
      <formula>"ДА"</formula>
    </cfRule>
    <cfRule type="cellIs" dxfId="57" priority="15" operator="equal">
      <formula>"НЕТ"</formula>
    </cfRule>
  </conditionalFormatting>
  <conditionalFormatting sqref="H14">
    <cfRule type="iconSet" priority="16">
      <iconSet iconSet="3Symbols">
        <cfvo type="percent" val="0"/>
        <cfvo type="percent" val="33"/>
        <cfvo type="percent" val="67"/>
      </iconSet>
    </cfRule>
    <cfRule type="expression" priority="17">
      <formula>"H71=1"</formula>
    </cfRule>
  </conditionalFormatting>
  <conditionalFormatting sqref="K3:K17">
    <cfRule type="cellIs" dxfId="56" priority="13" operator="greaterThan">
      <formula>0</formula>
    </cfRule>
  </conditionalFormatting>
  <conditionalFormatting sqref="C2:C14">
    <cfRule type="cellIs" dxfId="55" priority="9" operator="greaterThan">
      <formula>0</formula>
    </cfRule>
  </conditionalFormatting>
  <conditionalFormatting sqref="C19:E29 C31:E40 C43:E43">
    <cfRule type="cellIs" dxfId="54" priority="8" operator="greaterThan">
      <formula>0</formula>
    </cfRule>
  </conditionalFormatting>
  <conditionalFormatting sqref="E44">
    <cfRule type="cellIs" dxfId="53" priority="7" operator="greaterThan">
      <formula>0</formula>
    </cfRule>
  </conditionalFormatting>
  <conditionalFormatting sqref="C30">
    <cfRule type="cellIs" dxfId="52" priority="3" operator="greaterThan">
      <formula>0</formula>
    </cfRule>
  </conditionalFormatting>
  <conditionalFormatting sqref="D30:E30">
    <cfRule type="cellIs" dxfId="51" priority="5" operator="greaterThan">
      <formula>0</formula>
    </cfRule>
  </conditionalFormatting>
  <conditionalFormatting sqref="C30">
    <cfRule type="cellIs" dxfId="50" priority="4" operator="greaterThan">
      <formula>0</formula>
    </cfRule>
  </conditionalFormatting>
  <conditionalFormatting sqref="C15:C16">
    <cfRule type="cellIs" dxfId="49" priority="2" operator="greaterThan">
      <formula>0</formula>
    </cfRule>
  </conditionalFormatting>
  <conditionalFormatting sqref="C41:E42">
    <cfRule type="cellIs" dxfId="48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M68"/>
  <sheetViews>
    <sheetView workbookViewId="0">
      <pane ySplit="23" topLeftCell="A45" activePane="bottomLeft" state="frozen"/>
      <selection pane="bottomLeft" activeCell="H52" sqref="H52"/>
    </sheetView>
  </sheetViews>
  <sheetFormatPr defaultRowHeight="11.25"/>
  <cols>
    <col min="2" max="2" width="51.1640625" customWidth="1"/>
    <col min="3" max="3" width="11.83203125" customWidth="1"/>
    <col min="4" max="4" width="12" customWidth="1"/>
    <col min="5" max="5" width="13.5" customWidth="1"/>
    <col min="6" max="6" width="20.6640625" customWidth="1"/>
    <col min="7" max="7" width="4.33203125" customWidth="1"/>
    <col min="8" max="8" width="45.83203125" customWidth="1"/>
    <col min="9" max="9" width="4.83203125" customWidth="1"/>
  </cols>
  <sheetData>
    <row r="1" spans="1:13" ht="51" customHeight="1" thickBot="1">
      <c r="A1" s="501"/>
      <c r="B1" s="1122"/>
      <c r="C1" s="1122"/>
      <c r="D1" s="1122"/>
      <c r="E1" s="1122"/>
      <c r="F1" s="501"/>
      <c r="G1" s="501"/>
      <c r="H1" s="501"/>
      <c r="I1" s="501"/>
      <c r="J1" s="501"/>
      <c r="K1" s="501"/>
      <c r="L1" s="501"/>
      <c r="M1" s="501"/>
    </row>
    <row r="2" spans="1:13" ht="12" customHeight="1" thickBot="1">
      <c r="A2" s="501"/>
      <c r="B2" s="748" t="s">
        <v>636</v>
      </c>
      <c r="C2" s="704">
        <v>0</v>
      </c>
      <c r="D2" s="1047" t="s">
        <v>675</v>
      </c>
      <c r="E2" s="1048"/>
      <c r="F2" s="1049"/>
      <c r="G2" s="501"/>
      <c r="H2" s="505" t="s">
        <v>565</v>
      </c>
      <c r="I2" s="784" t="s">
        <v>684</v>
      </c>
      <c r="J2" s="506" t="s">
        <v>4</v>
      </c>
      <c r="K2" s="507" t="s">
        <v>8</v>
      </c>
      <c r="L2" s="501"/>
      <c r="M2" s="501"/>
    </row>
    <row r="3" spans="1:13" ht="12" customHeight="1">
      <c r="A3" s="501"/>
      <c r="B3" s="749" t="s">
        <v>637</v>
      </c>
      <c r="C3" s="340">
        <v>0</v>
      </c>
      <c r="D3" s="1067"/>
      <c r="E3" s="1053"/>
      <c r="F3" s="1054"/>
      <c r="G3" s="501"/>
      <c r="H3" s="509" t="s">
        <v>569</v>
      </c>
      <c r="I3" s="719" t="str">
        <f>IF(AND($C$9+$C$10+$C$11=1,$C$12+$C$13+$C$14=0,$C$15=1),"ДА","НЕТ")</f>
        <v>НЕТ</v>
      </c>
      <c r="J3" s="706"/>
      <c r="K3" s="414">
        <f>IF(I3="ДА",($C$6+$C$7+$C$8)*J3,0)</f>
        <v>0</v>
      </c>
      <c r="L3" s="501"/>
      <c r="M3" s="501"/>
    </row>
    <row r="4" spans="1:13" ht="12" customHeight="1">
      <c r="A4" s="501"/>
      <c r="B4" s="798" t="s">
        <v>638</v>
      </c>
      <c r="C4" s="714">
        <v>0</v>
      </c>
      <c r="D4" s="1067"/>
      <c r="E4" s="1053"/>
      <c r="F4" s="1054"/>
      <c r="G4" s="501"/>
      <c r="H4" s="514" t="s">
        <v>566</v>
      </c>
      <c r="I4" s="720" t="str">
        <f>IF(AND($C$9+$C$10+$C$11=1,$C$12+$C$13+$C$14=0,$C$15=3),"ДА","НЕТ")</f>
        <v>НЕТ</v>
      </c>
      <c r="J4" s="707"/>
      <c r="K4" s="418">
        <f t="shared" ref="K4:K19" si="0">IF(I4="ДА",($C$6+$C$7+$C$8)*J4,0)</f>
        <v>0</v>
      </c>
      <c r="L4" s="501"/>
      <c r="M4" s="501"/>
    </row>
    <row r="5" spans="1:13" ht="12" customHeight="1" thickBot="1">
      <c r="A5" s="501"/>
      <c r="B5" s="799" t="s">
        <v>639</v>
      </c>
      <c r="C5" s="705">
        <v>0</v>
      </c>
      <c r="D5" s="1050"/>
      <c r="E5" s="1051"/>
      <c r="F5" s="1052"/>
      <c r="G5" s="501"/>
      <c r="H5" s="514" t="s">
        <v>671</v>
      </c>
      <c r="I5" s="720" t="str">
        <f>IF(AND($C$9+$C$10+$C$11=1,$C$12+$C$13+$C$14=0,$C$15=3),"ДА","НЕТ")</f>
        <v>НЕТ</v>
      </c>
      <c r="J5" s="707"/>
      <c r="K5" s="418">
        <f t="shared" si="0"/>
        <v>0</v>
      </c>
      <c r="L5" s="501"/>
      <c r="M5" s="501"/>
    </row>
    <row r="6" spans="1:13" ht="12" customHeight="1">
      <c r="A6" s="501"/>
      <c r="B6" s="748" t="s">
        <v>642</v>
      </c>
      <c r="C6" s="679">
        <v>0</v>
      </c>
      <c r="D6" s="1047" t="s">
        <v>677</v>
      </c>
      <c r="E6" s="1048"/>
      <c r="F6" s="1049"/>
      <c r="G6" s="585"/>
      <c r="H6" s="514" t="s">
        <v>567</v>
      </c>
      <c r="I6" s="720" t="str">
        <f>IF(AND($C$9+$C$10+$C$11=1,$C$12+$C$13+$C$14=0,$C$15=2),"ДА","НЕТ")</f>
        <v>НЕТ</v>
      </c>
      <c r="J6" s="707"/>
      <c r="K6" s="418">
        <f t="shared" si="0"/>
        <v>0</v>
      </c>
      <c r="L6" s="501"/>
      <c r="M6" s="501"/>
    </row>
    <row r="7" spans="1:13" ht="12" customHeight="1">
      <c r="A7" s="501"/>
      <c r="B7" s="749" t="s">
        <v>641</v>
      </c>
      <c r="C7" s="680">
        <v>0</v>
      </c>
      <c r="D7" s="1067"/>
      <c r="E7" s="1053"/>
      <c r="F7" s="1054"/>
      <c r="G7" s="619"/>
      <c r="H7" s="514" t="s">
        <v>568</v>
      </c>
      <c r="I7" s="720" t="str">
        <f>IF(AND($C$9+$C$10+$C$11=1,$C$12+$C$13+$C$14=0,$C$15=2),"ДА","НЕТ")</f>
        <v>НЕТ</v>
      </c>
      <c r="J7" s="707"/>
      <c r="K7" s="418">
        <f t="shared" si="0"/>
        <v>0</v>
      </c>
      <c r="L7" s="501"/>
      <c r="M7" s="501"/>
    </row>
    <row r="8" spans="1:13" ht="12" customHeight="1" thickBot="1">
      <c r="A8" s="501"/>
      <c r="B8" s="750" t="s">
        <v>758</v>
      </c>
      <c r="C8" s="678">
        <v>0</v>
      </c>
      <c r="D8" s="1050"/>
      <c r="E8" s="1051"/>
      <c r="F8" s="1052"/>
      <c r="G8" s="619"/>
      <c r="H8" s="514" t="s">
        <v>574</v>
      </c>
      <c r="I8" s="720" t="str">
        <f>IF(AND($C$9+$C$10+$C$11=1,$C$12+$C$13+$C$14=0,$C$15=2),"ДА","НЕТ")</f>
        <v>НЕТ</v>
      </c>
      <c r="J8" s="707"/>
      <c r="K8" s="418">
        <f t="shared" si="0"/>
        <v>0</v>
      </c>
      <c r="L8" s="501"/>
      <c r="M8" s="501"/>
    </row>
    <row r="9" spans="1:13" ht="12" customHeight="1">
      <c r="A9" s="501"/>
      <c r="B9" s="748" t="s">
        <v>578</v>
      </c>
      <c r="C9" s="671">
        <v>0</v>
      </c>
      <c r="D9" s="762" t="s">
        <v>365</v>
      </c>
      <c r="E9" s="800" t="s">
        <v>327</v>
      </c>
      <c r="F9" s="1055" t="s">
        <v>677</v>
      </c>
      <c r="G9" s="501"/>
      <c r="H9" s="509" t="s">
        <v>670</v>
      </c>
      <c r="I9" s="720" t="str">
        <f>IF(AND($C$9+$C$10+$C$11=1,$C$12+$C$13+$C$14=0,$C$15=1),"ДА","НЕТ")</f>
        <v>НЕТ</v>
      </c>
      <c r="J9" s="706"/>
      <c r="K9" s="414">
        <f t="shared" si="0"/>
        <v>0</v>
      </c>
      <c r="L9" s="501"/>
      <c r="M9" s="501"/>
    </row>
    <row r="10" spans="1:13" ht="12" customHeight="1">
      <c r="A10" s="501"/>
      <c r="B10" s="749" t="s">
        <v>579</v>
      </c>
      <c r="C10" s="677">
        <v>0</v>
      </c>
      <c r="D10" s="754" t="s">
        <v>365</v>
      </c>
      <c r="E10" s="801" t="s">
        <v>327</v>
      </c>
      <c r="F10" s="1056"/>
      <c r="G10" s="501"/>
      <c r="H10" s="509" t="s">
        <v>462</v>
      </c>
      <c r="I10" s="720" t="str">
        <f>IF(AND($C$9+$C$10+$C$11+$C$14=0,$C$12+$C$13=1,$C$15=1),"ДА","НЕТ")</f>
        <v>НЕТ</v>
      </c>
      <c r="J10" s="708"/>
      <c r="K10" s="421">
        <f t="shared" si="0"/>
        <v>0</v>
      </c>
      <c r="L10" s="501"/>
      <c r="M10" s="501"/>
    </row>
    <row r="11" spans="1:13" ht="12" customHeight="1">
      <c r="A11" s="501"/>
      <c r="B11" s="749" t="s">
        <v>667</v>
      </c>
      <c r="C11" s="677">
        <v>0</v>
      </c>
      <c r="D11" s="754" t="s">
        <v>365</v>
      </c>
      <c r="E11" s="801" t="s">
        <v>327</v>
      </c>
      <c r="F11" s="1056"/>
      <c r="G11" s="501"/>
      <c r="H11" s="512" t="s">
        <v>463</v>
      </c>
      <c r="I11" s="720" t="str">
        <f>IF(AND($C$9+$C$10+$C$11+$C$14=0,$C$12+$C$13=1,$C$15=1),"ДА","НЕТ")</f>
        <v>НЕТ</v>
      </c>
      <c r="J11" s="708"/>
      <c r="K11" s="421">
        <f t="shared" si="0"/>
        <v>0</v>
      </c>
      <c r="L11" s="501"/>
      <c r="M11" s="501"/>
    </row>
    <row r="12" spans="1:13" ht="12" customHeight="1">
      <c r="A12" s="501"/>
      <c r="B12" s="751" t="s">
        <v>580</v>
      </c>
      <c r="C12" s="674">
        <v>0</v>
      </c>
      <c r="D12" s="752" t="s">
        <v>365</v>
      </c>
      <c r="E12" s="802" t="s">
        <v>327</v>
      </c>
      <c r="F12" s="1056"/>
      <c r="G12" s="501"/>
      <c r="H12" s="512" t="s">
        <v>464</v>
      </c>
      <c r="I12" s="720" t="str">
        <f>IF(AND($C$9+$C$10+$C$11+$C$14=0,$C$12+$C$13=1,$C$15=1),"ДА","НЕТ")</f>
        <v>НЕТ</v>
      </c>
      <c r="J12" s="709"/>
      <c r="K12" s="421">
        <f t="shared" si="0"/>
        <v>0</v>
      </c>
      <c r="L12" s="501"/>
      <c r="M12" s="501"/>
    </row>
    <row r="13" spans="1:13" ht="12" customHeight="1">
      <c r="A13" s="501"/>
      <c r="B13" s="749" t="s">
        <v>581</v>
      </c>
      <c r="C13" s="677">
        <v>0</v>
      </c>
      <c r="D13" s="754" t="s">
        <v>365</v>
      </c>
      <c r="E13" s="801" t="s">
        <v>327</v>
      </c>
      <c r="F13" s="1056"/>
      <c r="G13" s="501"/>
      <c r="H13" s="512" t="s">
        <v>672</v>
      </c>
      <c r="I13" s="720" t="str">
        <f>IF(AND($C$9+$C$10+C11+$C$12+$C$13=0,$C$14=1,$C$15=1),"ДА","НЕТ")</f>
        <v>НЕТ</v>
      </c>
      <c r="J13" s="709"/>
      <c r="K13" s="421">
        <f t="shared" si="0"/>
        <v>0</v>
      </c>
      <c r="L13" s="501"/>
      <c r="M13" s="501"/>
    </row>
    <row r="14" spans="1:13" ht="12" customHeight="1" thickBot="1">
      <c r="A14" s="501"/>
      <c r="B14" s="750" t="s">
        <v>668</v>
      </c>
      <c r="C14" s="681">
        <v>0</v>
      </c>
      <c r="D14" s="764" t="s">
        <v>365</v>
      </c>
      <c r="E14" s="803" t="s">
        <v>327</v>
      </c>
      <c r="F14" s="1057"/>
      <c r="G14" s="501"/>
      <c r="H14" s="512" t="s">
        <v>672</v>
      </c>
      <c r="I14" s="720" t="str">
        <f>IF(AND($C$9+$C$10+C12+$C$12+$C$13=0,$C$14=1,$C$15=1),"ДА","НЕТ")</f>
        <v>НЕТ</v>
      </c>
      <c r="J14" s="709"/>
      <c r="K14" s="421">
        <f t="shared" si="0"/>
        <v>0</v>
      </c>
      <c r="L14" s="501"/>
      <c r="M14" s="501"/>
    </row>
    <row r="15" spans="1:13" ht="12" customHeight="1" thickBot="1">
      <c r="A15" s="501"/>
      <c r="B15" s="610" t="s">
        <v>669</v>
      </c>
      <c r="C15" s="716">
        <v>0</v>
      </c>
      <c r="D15" s="722" t="s">
        <v>699</v>
      </c>
      <c r="E15" s="612" t="s">
        <v>700</v>
      </c>
      <c r="F15" s="613" t="s">
        <v>701</v>
      </c>
      <c r="G15" s="501"/>
      <c r="H15" s="509" t="s">
        <v>467</v>
      </c>
      <c r="I15" s="720" t="str">
        <f>IF(AND($C$9+$C$10+$C$11+$C$14=0,$C$12+$C$13=1,$C$15=2),"ДА","НЕТ")</f>
        <v>НЕТ</v>
      </c>
      <c r="J15" s="708"/>
      <c r="K15" s="421">
        <f t="shared" si="0"/>
        <v>0</v>
      </c>
      <c r="L15" s="501"/>
      <c r="M15" s="501"/>
    </row>
    <row r="16" spans="1:13" ht="12" customHeight="1">
      <c r="A16" s="501"/>
      <c r="B16" s="748" t="s">
        <v>439</v>
      </c>
      <c r="C16" s="671">
        <v>0</v>
      </c>
      <c r="D16" s="762" t="s">
        <v>365</v>
      </c>
      <c r="E16" s="800" t="s">
        <v>327</v>
      </c>
      <c r="F16" s="1055" t="s">
        <v>677</v>
      </c>
      <c r="G16" s="501"/>
      <c r="H16" s="512" t="s">
        <v>468</v>
      </c>
      <c r="I16" s="720" t="str">
        <f>IF(AND($C$9+$C$10+$C$11+$C$14=0,$C$12+$C$13=1,$C$15=2),"ДА","НЕТ")</f>
        <v>НЕТ</v>
      </c>
      <c r="J16" s="708"/>
      <c r="K16" s="421">
        <f t="shared" si="0"/>
        <v>0</v>
      </c>
      <c r="L16" s="501"/>
      <c r="M16" s="501"/>
    </row>
    <row r="17" spans="1:13" ht="12" customHeight="1">
      <c r="A17" s="501"/>
      <c r="B17" s="749" t="s">
        <v>440</v>
      </c>
      <c r="C17" s="677">
        <v>0</v>
      </c>
      <c r="D17" s="754" t="s">
        <v>365</v>
      </c>
      <c r="E17" s="801" t="s">
        <v>327</v>
      </c>
      <c r="F17" s="1056"/>
      <c r="G17" s="501"/>
      <c r="H17" s="512" t="s">
        <v>469</v>
      </c>
      <c r="I17" s="720" t="str">
        <f>IF(AND($C$9+$C$10+$C$11+$C$14=0,$C$12+$C$13=1,$C$15=2),"ДА","НЕТ")</f>
        <v>НЕТ</v>
      </c>
      <c r="J17" s="708"/>
      <c r="K17" s="418">
        <f t="shared" si="0"/>
        <v>0</v>
      </c>
      <c r="L17" s="501"/>
      <c r="M17" s="501"/>
    </row>
    <row r="18" spans="1:13" ht="12" customHeight="1">
      <c r="A18" s="501"/>
      <c r="B18" s="749" t="s">
        <v>546</v>
      </c>
      <c r="C18" s="677">
        <v>0</v>
      </c>
      <c r="D18" s="754" t="s">
        <v>365</v>
      </c>
      <c r="E18" s="801" t="s">
        <v>327</v>
      </c>
      <c r="F18" s="1056"/>
      <c r="G18" s="501"/>
      <c r="H18" s="509" t="s">
        <v>673</v>
      </c>
      <c r="I18" s="719" t="str">
        <f>IF(AND($C$9+$C$10+C16+$C$12+$C$13=0,$C$14=1,$C$15=2),"ДА","НЕТ")</f>
        <v>НЕТ</v>
      </c>
      <c r="J18" s="710"/>
      <c r="K18" s="425">
        <f t="shared" si="0"/>
        <v>0</v>
      </c>
      <c r="L18" s="501"/>
      <c r="M18" s="501"/>
    </row>
    <row r="19" spans="1:13" ht="12" customHeight="1" thickBot="1">
      <c r="A19" s="501"/>
      <c r="B19" s="799" t="s">
        <v>545</v>
      </c>
      <c r="C19" s="672">
        <v>0</v>
      </c>
      <c r="D19" s="764" t="s">
        <v>365</v>
      </c>
      <c r="E19" s="803" t="s">
        <v>327</v>
      </c>
      <c r="F19" s="1057"/>
      <c r="G19" s="501"/>
      <c r="H19" s="533" t="s">
        <v>674</v>
      </c>
      <c r="I19" s="730" t="str">
        <f>IF(AND($C$9+$C$10+C17+$C$12+$C$13=0,$C$14=1,$C$15=2),"ДА","НЕТ")</f>
        <v>НЕТ</v>
      </c>
      <c r="J19" s="711"/>
      <c r="K19" s="428">
        <f t="shared" si="0"/>
        <v>0</v>
      </c>
      <c r="L19" s="501"/>
      <c r="M19" s="501"/>
    </row>
    <row r="20" spans="1:13" ht="12" customHeight="1">
      <c r="A20" s="501"/>
      <c r="B20" s="503" t="s">
        <v>205</v>
      </c>
      <c r="C20" s="560">
        <v>0</v>
      </c>
      <c r="D20" s="1058" t="s">
        <v>766</v>
      </c>
      <c r="E20" s="1059"/>
      <c r="F20" s="1060"/>
      <c r="G20" s="501"/>
      <c r="H20" s="501"/>
      <c r="I20" s="501"/>
      <c r="J20" s="501"/>
      <c r="K20" s="501"/>
      <c r="L20" s="501"/>
      <c r="M20" s="501"/>
    </row>
    <row r="21" spans="1:13" s="89" customFormat="1" ht="12" customHeight="1" thickBot="1">
      <c r="A21" s="736"/>
      <c r="B21" s="508" t="s">
        <v>204</v>
      </c>
      <c r="C21" s="559">
        <v>0</v>
      </c>
      <c r="D21" s="1064" t="s">
        <v>767</v>
      </c>
      <c r="E21" s="1065"/>
      <c r="F21" s="1066"/>
      <c r="G21" s="736"/>
      <c r="H21" s="736"/>
      <c r="I21" s="736"/>
      <c r="J21" s="736"/>
      <c r="K21" s="736"/>
      <c r="L21" s="736"/>
      <c r="M21" s="736"/>
    </row>
    <row r="22" spans="1:13" ht="12" customHeight="1" thickBot="1">
      <c r="A22" s="501"/>
      <c r="B22" s="501"/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</row>
    <row r="23" spans="1:13" ht="12" customHeight="1">
      <c r="A23" s="501"/>
      <c r="B23" s="804" t="s">
        <v>5</v>
      </c>
      <c r="C23" s="805" t="s">
        <v>0</v>
      </c>
      <c r="D23" s="806" t="s">
        <v>4</v>
      </c>
      <c r="E23" s="807" t="s">
        <v>8</v>
      </c>
      <c r="F23" s="501"/>
      <c r="G23" s="501"/>
      <c r="H23" s="501"/>
      <c r="I23" s="501"/>
      <c r="J23" s="501"/>
      <c r="K23" s="501"/>
      <c r="L23" s="501"/>
      <c r="M23" s="501"/>
    </row>
    <row r="24" spans="1:13" ht="12" customHeight="1">
      <c r="A24" s="501"/>
      <c r="B24" s="775" t="s">
        <v>643</v>
      </c>
      <c r="C24" s="357">
        <f>(C6+C7+C8)*2*C18</f>
        <v>0</v>
      </c>
      <c r="D24" s="365"/>
      <c r="E24" s="366">
        <f t="shared" ref="E24:E63" si="1">C24*D24</f>
        <v>0</v>
      </c>
      <c r="F24" s="501"/>
      <c r="G24" s="501"/>
      <c r="H24" s="501"/>
      <c r="I24" s="501"/>
      <c r="J24" s="501"/>
      <c r="K24" s="501"/>
      <c r="L24" s="501"/>
      <c r="M24" s="501"/>
    </row>
    <row r="25" spans="1:13" ht="12" customHeight="1">
      <c r="A25" s="501"/>
      <c r="B25" s="775" t="s">
        <v>644</v>
      </c>
      <c r="C25" s="357">
        <f>2*C19*(C6+C7+C8)</f>
        <v>0</v>
      </c>
      <c r="D25" s="808"/>
      <c r="E25" s="366">
        <f t="shared" si="1"/>
        <v>0</v>
      </c>
      <c r="F25" s="501"/>
      <c r="G25" s="501"/>
      <c r="H25" s="501"/>
      <c r="I25" s="501"/>
      <c r="J25" s="501"/>
      <c r="K25" s="501"/>
      <c r="L25" s="501"/>
      <c r="M25" s="501"/>
    </row>
    <row r="26" spans="1:13" ht="12" customHeight="1">
      <c r="A26" s="501"/>
      <c r="B26" s="775" t="s">
        <v>122</v>
      </c>
      <c r="C26" s="357">
        <f>(C17+C16)*4*(C6+C7+C8)</f>
        <v>0</v>
      </c>
      <c r="D26" s="808"/>
      <c r="E26" s="366">
        <f t="shared" si="1"/>
        <v>0</v>
      </c>
      <c r="F26" s="501"/>
      <c r="G26" s="501"/>
      <c r="H26" s="501"/>
      <c r="I26" s="501"/>
      <c r="J26" s="501"/>
      <c r="K26" s="501"/>
      <c r="L26" s="501"/>
      <c r="M26" s="501"/>
    </row>
    <row r="27" spans="1:13" ht="12" customHeight="1">
      <c r="A27" s="501"/>
      <c r="B27" s="776" t="s">
        <v>735</v>
      </c>
      <c r="C27" s="358">
        <f>EVEN(ROUNDDOWN(IF((C6+C7+C8)&gt;0,((C2+C3)/0.5)*(C6+C7+C8),0),0))</f>
        <v>0</v>
      </c>
      <c r="D27" s="365"/>
      <c r="E27" s="366">
        <f t="shared" si="1"/>
        <v>0</v>
      </c>
      <c r="F27" s="501"/>
      <c r="G27" s="501"/>
      <c r="H27" s="501"/>
      <c r="I27" s="501"/>
      <c r="J27" s="501"/>
      <c r="K27" s="501"/>
      <c r="L27" s="501"/>
      <c r="M27" s="501"/>
    </row>
    <row r="28" spans="1:13" ht="12" customHeight="1">
      <c r="A28" s="501"/>
      <c r="B28" s="776" t="s">
        <v>499</v>
      </c>
      <c r="C28" s="358">
        <f>IF(AND(C9+C10+C11&gt;0,C12+C13+C14=0),(C6+C7+C8)*2,0)</f>
        <v>0</v>
      </c>
      <c r="D28" s="365"/>
      <c r="E28" s="366">
        <f t="shared" si="1"/>
        <v>0</v>
      </c>
      <c r="F28" s="501"/>
      <c r="G28" s="501"/>
      <c r="H28" s="501"/>
      <c r="I28" s="501"/>
      <c r="J28" s="501"/>
      <c r="K28" s="501"/>
      <c r="L28" s="501"/>
      <c r="M28" s="501"/>
    </row>
    <row r="29" spans="1:13" ht="12" customHeight="1">
      <c r="A29" s="501"/>
      <c r="B29" s="776" t="s">
        <v>635</v>
      </c>
      <c r="C29" s="358">
        <f>C6+C7+C8</f>
        <v>0</v>
      </c>
      <c r="D29" s="365"/>
      <c r="E29" s="366">
        <f t="shared" si="1"/>
        <v>0</v>
      </c>
      <c r="F29" s="501"/>
      <c r="G29" s="501"/>
      <c r="H29" s="501"/>
      <c r="I29" s="501"/>
      <c r="J29" s="501"/>
      <c r="K29" s="501"/>
      <c r="L29" s="501"/>
      <c r="M29" s="501"/>
    </row>
    <row r="30" spans="1:13" ht="12" customHeight="1">
      <c r="A30" s="501"/>
      <c r="B30" s="776" t="s">
        <v>591</v>
      </c>
      <c r="C30" s="358">
        <f>IF(AND(C12+C13+C14&gt;0,C9+C10+C11=0),(C6+C7+C8)*2,0)</f>
        <v>0</v>
      </c>
      <c r="D30" s="365"/>
      <c r="E30" s="366">
        <f t="shared" si="1"/>
        <v>0</v>
      </c>
      <c r="F30" s="501"/>
      <c r="G30" s="501"/>
      <c r="H30" s="501"/>
      <c r="I30" s="501"/>
      <c r="J30" s="501"/>
      <c r="K30" s="501"/>
      <c r="L30" s="501"/>
      <c r="M30" s="501"/>
    </row>
    <row r="31" spans="1:13" ht="12" customHeight="1">
      <c r="A31" s="501"/>
      <c r="B31" s="775" t="s">
        <v>736</v>
      </c>
      <c r="C31" s="357">
        <f>C6+C7+C8</f>
        <v>0</v>
      </c>
      <c r="D31" s="365"/>
      <c r="E31" s="366">
        <f t="shared" si="1"/>
        <v>0</v>
      </c>
      <c r="F31" s="501"/>
      <c r="G31" s="501"/>
      <c r="H31" s="501"/>
      <c r="I31" s="501"/>
      <c r="J31" s="501"/>
      <c r="K31" s="501"/>
      <c r="L31" s="501"/>
      <c r="M31" s="501"/>
    </row>
    <row r="32" spans="1:13" ht="12" customHeight="1">
      <c r="A32" s="501"/>
      <c r="B32" s="775" t="s">
        <v>737</v>
      </c>
      <c r="C32" s="359">
        <f>C6+C7+C8</f>
        <v>0</v>
      </c>
      <c r="D32" s="365"/>
      <c r="E32" s="366">
        <f t="shared" si="1"/>
        <v>0</v>
      </c>
      <c r="F32" s="501"/>
      <c r="G32" s="501"/>
      <c r="H32" s="501"/>
      <c r="I32" s="501"/>
      <c r="J32" s="501"/>
      <c r="K32" s="501"/>
      <c r="L32" s="501"/>
      <c r="M32" s="501"/>
    </row>
    <row r="33" spans="1:13" ht="12" customHeight="1">
      <c r="A33" s="501"/>
      <c r="B33" s="775" t="s">
        <v>738</v>
      </c>
      <c r="C33" s="357">
        <f>(C6+C7+C8)*2</f>
        <v>0</v>
      </c>
      <c r="D33" s="365"/>
      <c r="E33" s="366">
        <f t="shared" si="1"/>
        <v>0</v>
      </c>
      <c r="F33" s="501"/>
      <c r="G33" s="501"/>
      <c r="H33" s="501"/>
      <c r="I33" s="501"/>
      <c r="J33" s="501"/>
      <c r="K33" s="501"/>
      <c r="L33" s="501"/>
      <c r="M33" s="501"/>
    </row>
    <row r="34" spans="1:13" ht="12" customHeight="1">
      <c r="A34" s="501"/>
      <c r="B34" s="776" t="s">
        <v>524</v>
      </c>
      <c r="C34" s="357">
        <f>IF(C7+C8=0,C6*2,0)</f>
        <v>0</v>
      </c>
      <c r="D34" s="365"/>
      <c r="E34" s="366">
        <f t="shared" si="1"/>
        <v>0</v>
      </c>
      <c r="F34" s="501"/>
      <c r="G34" s="501"/>
      <c r="H34" s="501"/>
      <c r="I34" s="501"/>
      <c r="J34" s="501"/>
      <c r="K34" s="501"/>
      <c r="L34" s="501"/>
      <c r="M34" s="501"/>
    </row>
    <row r="35" spans="1:13" ht="12" customHeight="1">
      <c r="A35" s="501"/>
      <c r="B35" s="776" t="s">
        <v>525</v>
      </c>
      <c r="C35" s="357">
        <f>IF(AND(C6&gt;0,C7+C8=0),C6*4,0)</f>
        <v>0</v>
      </c>
      <c r="D35" s="365"/>
      <c r="E35" s="366">
        <f t="shared" si="1"/>
        <v>0</v>
      </c>
      <c r="F35" s="501"/>
      <c r="G35" s="501"/>
      <c r="H35" s="501"/>
      <c r="I35" s="501"/>
      <c r="J35" s="501"/>
      <c r="K35" s="501"/>
      <c r="L35" s="501"/>
      <c r="M35" s="501"/>
    </row>
    <row r="36" spans="1:13" ht="12" customHeight="1">
      <c r="A36" s="501"/>
      <c r="B36" s="776" t="s">
        <v>732</v>
      </c>
      <c r="C36" s="357">
        <f>IF(AND(C8&gt;0,C6+C7=0),C8*4,0)</f>
        <v>0</v>
      </c>
      <c r="D36" s="365"/>
      <c r="E36" s="366">
        <f>C36*D36</f>
        <v>0</v>
      </c>
      <c r="F36" s="501"/>
      <c r="G36" s="501"/>
      <c r="H36" s="501"/>
      <c r="I36" s="501"/>
      <c r="J36" s="501"/>
      <c r="K36" s="501"/>
      <c r="L36" s="501"/>
      <c r="M36" s="501"/>
    </row>
    <row r="37" spans="1:13" ht="12" customHeight="1">
      <c r="A37" s="501"/>
      <c r="B37" s="776" t="s">
        <v>513</v>
      </c>
      <c r="C37" s="357">
        <f>IF(C6=0,(C7+C8)*2,0)</f>
        <v>0</v>
      </c>
      <c r="D37" s="365"/>
      <c r="E37" s="366">
        <f t="shared" si="1"/>
        <v>0</v>
      </c>
      <c r="F37" s="501"/>
      <c r="G37" s="501"/>
      <c r="H37" s="501"/>
      <c r="I37" s="501"/>
      <c r="J37" s="501"/>
      <c r="K37" s="501"/>
      <c r="L37" s="501"/>
      <c r="M37" s="501"/>
    </row>
    <row r="38" spans="1:13" ht="12" customHeight="1">
      <c r="A38" s="501"/>
      <c r="B38" s="775" t="s">
        <v>553</v>
      </c>
      <c r="C38" s="357">
        <f>(C6+C7+C8)*(C2+C3)</f>
        <v>0</v>
      </c>
      <c r="D38" s="365"/>
      <c r="E38" s="366">
        <f t="shared" si="1"/>
        <v>0</v>
      </c>
      <c r="F38" s="501"/>
      <c r="G38" s="501"/>
      <c r="H38" s="501"/>
      <c r="I38" s="501"/>
      <c r="J38" s="501"/>
      <c r="K38" s="501"/>
      <c r="L38" s="501"/>
      <c r="M38" s="501"/>
    </row>
    <row r="39" spans="1:13" ht="12" customHeight="1">
      <c r="A39" s="501"/>
      <c r="B39" s="775" t="s">
        <v>553</v>
      </c>
      <c r="C39" s="358">
        <f>(C2+C3)*C18*(C6+C7+C8)</f>
        <v>0</v>
      </c>
      <c r="D39" s="342"/>
      <c r="E39" s="366">
        <f t="shared" si="1"/>
        <v>0</v>
      </c>
      <c r="F39" s="619"/>
      <c r="G39" s="501"/>
      <c r="H39" s="501"/>
      <c r="I39" s="501"/>
      <c r="J39" s="501"/>
      <c r="K39" s="501"/>
      <c r="L39" s="501"/>
      <c r="M39" s="501"/>
    </row>
    <row r="40" spans="1:13" ht="12" customHeight="1">
      <c r="A40" s="501"/>
      <c r="B40" s="776" t="s">
        <v>441</v>
      </c>
      <c r="C40" s="358">
        <f>C17*2*(C2+C3)*(C6+C7+C8)</f>
        <v>0</v>
      </c>
      <c r="D40" s="342"/>
      <c r="E40" s="366">
        <f t="shared" si="1"/>
        <v>0</v>
      </c>
      <c r="F40" s="501"/>
      <c r="G40" s="501"/>
      <c r="H40" s="501"/>
      <c r="I40" s="501"/>
      <c r="J40" s="501"/>
      <c r="K40" s="501"/>
      <c r="L40" s="501"/>
      <c r="M40" s="501"/>
    </row>
    <row r="41" spans="1:13" ht="12" customHeight="1">
      <c r="A41" s="501"/>
      <c r="B41" s="776" t="s">
        <v>556</v>
      </c>
      <c r="C41" s="358">
        <f>(C16+C19)*(C2+C3)*(C6+C7+C8)</f>
        <v>0</v>
      </c>
      <c r="D41" s="342"/>
      <c r="E41" s="366">
        <f t="shared" si="1"/>
        <v>0</v>
      </c>
      <c r="F41" s="501"/>
      <c r="G41" s="501"/>
      <c r="H41" s="501"/>
      <c r="I41" s="501"/>
      <c r="J41" s="501"/>
      <c r="K41" s="501"/>
      <c r="L41" s="501"/>
      <c r="M41" s="501"/>
    </row>
    <row r="42" spans="1:13" ht="12" customHeight="1">
      <c r="A42" s="501"/>
      <c r="B42" s="776" t="s">
        <v>725</v>
      </c>
      <c r="C42" s="358">
        <f>C19*(C2+C3)*(C6+C7+C8)</f>
        <v>0</v>
      </c>
      <c r="D42" s="342"/>
      <c r="E42" s="366">
        <f t="shared" si="1"/>
        <v>0</v>
      </c>
      <c r="F42" s="501"/>
      <c r="G42" s="501"/>
      <c r="H42" s="501"/>
      <c r="I42" s="501"/>
      <c r="J42" s="501"/>
      <c r="K42" s="501"/>
      <c r="L42" s="501"/>
      <c r="M42" s="501"/>
    </row>
    <row r="43" spans="1:13" ht="12" customHeight="1">
      <c r="A43" s="501"/>
      <c r="B43" s="776" t="s">
        <v>442</v>
      </c>
      <c r="C43" s="358">
        <f>C16*(C2+C3)*(C6+C7+C8)</f>
        <v>0</v>
      </c>
      <c r="D43" s="342"/>
      <c r="E43" s="366">
        <f t="shared" si="1"/>
        <v>0</v>
      </c>
      <c r="F43" s="501"/>
      <c r="G43" s="501"/>
      <c r="H43" s="501"/>
      <c r="I43" s="501"/>
      <c r="J43" s="501"/>
      <c r="K43" s="501"/>
      <c r="L43" s="501"/>
      <c r="M43" s="501"/>
    </row>
    <row r="44" spans="1:13" ht="12" customHeight="1">
      <c r="A44" s="501"/>
      <c r="B44" s="776" t="s">
        <v>443</v>
      </c>
      <c r="C44" s="365">
        <f>C17*(C2+C3)*(C6+C7+C8)</f>
        <v>0</v>
      </c>
      <c r="D44" s="342"/>
      <c r="E44" s="366">
        <f t="shared" si="1"/>
        <v>0</v>
      </c>
      <c r="F44" s="501"/>
      <c r="G44" s="501"/>
      <c r="H44" s="501"/>
      <c r="I44" s="501"/>
      <c r="J44" s="501"/>
      <c r="K44" s="501"/>
      <c r="L44" s="501"/>
      <c r="M44" s="501"/>
    </row>
    <row r="45" spans="1:13" ht="12" customHeight="1">
      <c r="A45" s="501"/>
      <c r="B45" s="776" t="s">
        <v>546</v>
      </c>
      <c r="C45" s="358">
        <f>(C6+C7+C8)*(C2+C3)*C18</f>
        <v>0</v>
      </c>
      <c r="D45" s="342"/>
      <c r="E45" s="366">
        <f t="shared" si="1"/>
        <v>0</v>
      </c>
      <c r="F45" s="501"/>
      <c r="G45" s="501"/>
      <c r="H45" s="501"/>
      <c r="I45" s="501"/>
      <c r="J45" s="501"/>
      <c r="K45" s="501"/>
      <c r="L45" s="501"/>
      <c r="M45" s="501"/>
    </row>
    <row r="46" spans="1:13" ht="12" customHeight="1">
      <c r="A46" s="501"/>
      <c r="B46" s="775" t="s">
        <v>540</v>
      </c>
      <c r="C46" s="357">
        <f>IF(AND(C6&gt;0,C7+C8=0),(C2+C3)*C6,0)</f>
        <v>0</v>
      </c>
      <c r="D46" s="342"/>
      <c r="E46" s="366">
        <f t="shared" si="1"/>
        <v>0</v>
      </c>
      <c r="F46" s="501"/>
      <c r="G46" s="501"/>
      <c r="H46" s="501"/>
      <c r="I46" s="501"/>
      <c r="J46" s="501"/>
      <c r="K46" s="501"/>
      <c r="L46" s="501"/>
      <c r="M46" s="501"/>
    </row>
    <row r="47" spans="1:13" ht="12" customHeight="1">
      <c r="A47" s="501"/>
      <c r="B47" s="775" t="s">
        <v>541</v>
      </c>
      <c r="C47" s="357">
        <f>IF(AND(C6+C8=0,C7&gt;0),(C2+C3)*C7,0)</f>
        <v>0</v>
      </c>
      <c r="D47" s="342"/>
      <c r="E47" s="366">
        <f t="shared" si="1"/>
        <v>0</v>
      </c>
      <c r="F47" s="501"/>
      <c r="G47" s="501"/>
      <c r="H47" s="501"/>
      <c r="I47" s="501"/>
      <c r="J47" s="501"/>
      <c r="K47" s="501"/>
      <c r="L47" s="501"/>
      <c r="M47" s="501"/>
    </row>
    <row r="48" spans="1:13" ht="12" customHeight="1">
      <c r="A48" s="501"/>
      <c r="B48" s="775" t="s">
        <v>681</v>
      </c>
      <c r="C48" s="357">
        <f>IF(AND(C7+C6=0,C8&gt;0),(C3+C2)*C8,0)</f>
        <v>0</v>
      </c>
      <c r="D48" s="342"/>
      <c r="E48" s="366">
        <f>C48*D48</f>
        <v>0</v>
      </c>
      <c r="F48" s="501"/>
      <c r="G48" s="501"/>
      <c r="H48" s="501"/>
      <c r="I48" s="501"/>
      <c r="J48" s="501"/>
      <c r="K48" s="501"/>
      <c r="L48" s="501"/>
      <c r="M48" s="501"/>
    </row>
    <row r="49" spans="1:13" ht="12" customHeight="1">
      <c r="A49" s="501"/>
      <c r="B49" s="775" t="s">
        <v>521</v>
      </c>
      <c r="C49" s="357">
        <f>(C6+C7+C8)*2</f>
        <v>0</v>
      </c>
      <c r="D49" s="342"/>
      <c r="E49" s="366">
        <f t="shared" si="1"/>
        <v>0</v>
      </c>
      <c r="F49" s="501"/>
      <c r="G49" s="501"/>
      <c r="H49" s="501"/>
      <c r="I49" s="501"/>
      <c r="J49" s="501"/>
      <c r="K49" s="501"/>
      <c r="L49" s="501"/>
      <c r="M49" s="501"/>
    </row>
    <row r="50" spans="1:13" ht="12" customHeight="1">
      <c r="A50" s="501"/>
      <c r="B50" s="809" t="s">
        <v>563</v>
      </c>
      <c r="C50" s="360">
        <f>(C2+C3)*(C6+C7+C8)</f>
        <v>0</v>
      </c>
      <c r="D50" s="341"/>
      <c r="E50" s="366">
        <f t="shared" si="1"/>
        <v>0</v>
      </c>
      <c r="F50" s="501"/>
      <c r="G50" s="501"/>
      <c r="H50" s="501"/>
      <c r="I50" s="501"/>
      <c r="J50" s="501"/>
      <c r="K50" s="501"/>
      <c r="L50" s="501"/>
      <c r="M50" s="501"/>
    </row>
    <row r="51" spans="1:13" ht="12" customHeight="1">
      <c r="A51" s="501"/>
      <c r="B51" s="775" t="s">
        <v>741</v>
      </c>
      <c r="C51" s="357">
        <f>(C6+C7+C8)*(C2+C3)</f>
        <v>0</v>
      </c>
      <c r="D51" s="342"/>
      <c r="E51" s="366">
        <f t="shared" si="1"/>
        <v>0</v>
      </c>
      <c r="F51" s="501"/>
      <c r="G51" s="501"/>
      <c r="H51" s="501"/>
      <c r="I51" s="501"/>
      <c r="J51" s="501"/>
      <c r="K51" s="501"/>
      <c r="L51" s="501"/>
      <c r="M51" s="501"/>
    </row>
    <row r="52" spans="1:13" ht="12" customHeight="1">
      <c r="A52" s="501"/>
      <c r="B52" s="775" t="s">
        <v>742</v>
      </c>
      <c r="C52" s="357">
        <f>(C6+C7+C8)*(C2+C3)</f>
        <v>0</v>
      </c>
      <c r="D52" s="342"/>
      <c r="E52" s="366">
        <f t="shared" si="1"/>
        <v>0</v>
      </c>
      <c r="F52" s="501"/>
      <c r="G52" s="501"/>
      <c r="H52" s="501"/>
      <c r="I52" s="501"/>
      <c r="J52" s="501"/>
      <c r="K52" s="501"/>
      <c r="L52" s="501"/>
      <c r="M52" s="501"/>
    </row>
    <row r="53" spans="1:13" ht="12" customHeight="1">
      <c r="A53" s="501"/>
      <c r="B53" s="776" t="s">
        <v>727</v>
      </c>
      <c r="C53" s="358">
        <f>(C6+C7+C8)*2</f>
        <v>0</v>
      </c>
      <c r="D53" s="342"/>
      <c r="E53" s="366">
        <f t="shared" si="1"/>
        <v>0</v>
      </c>
      <c r="F53" s="501"/>
      <c r="G53" s="501"/>
      <c r="H53" s="501"/>
      <c r="I53" s="501"/>
      <c r="J53" s="501"/>
      <c r="K53" s="501"/>
      <c r="L53" s="501"/>
      <c r="M53" s="501"/>
    </row>
    <row r="54" spans="1:13" ht="12" customHeight="1">
      <c r="A54" s="501"/>
      <c r="B54" s="776" t="s">
        <v>619</v>
      </c>
      <c r="C54" s="358">
        <f>(C6+C7+C8)*4</f>
        <v>0</v>
      </c>
      <c r="D54" s="342"/>
      <c r="E54" s="366">
        <f t="shared" si="1"/>
        <v>0</v>
      </c>
      <c r="F54" s="501"/>
      <c r="G54" s="501"/>
      <c r="H54" s="501"/>
      <c r="I54" s="501"/>
      <c r="J54" s="501"/>
      <c r="K54" s="501"/>
      <c r="L54" s="501"/>
      <c r="M54" s="501"/>
    </row>
    <row r="55" spans="1:13" ht="12" customHeight="1">
      <c r="A55" s="501"/>
      <c r="B55" s="776" t="s">
        <v>596</v>
      </c>
      <c r="C55" s="358">
        <f>(C6+C7+C8)*2</f>
        <v>0</v>
      </c>
      <c r="D55" s="342"/>
      <c r="E55" s="366">
        <f t="shared" si="1"/>
        <v>0</v>
      </c>
      <c r="F55" s="501"/>
      <c r="G55" s="501"/>
      <c r="H55" s="501"/>
      <c r="I55" s="501"/>
      <c r="J55" s="501"/>
      <c r="K55" s="501"/>
      <c r="L55" s="501"/>
      <c r="M55" s="501"/>
    </row>
    <row r="56" spans="1:13" ht="12" customHeight="1">
      <c r="A56" s="501"/>
      <c r="B56" s="548" t="s">
        <v>682</v>
      </c>
      <c r="C56" s="450">
        <f>C11*C8*2</f>
        <v>0</v>
      </c>
      <c r="D56" s="649"/>
      <c r="E56" s="439">
        <f t="shared" si="1"/>
        <v>0</v>
      </c>
      <c r="F56" s="501"/>
      <c r="G56" s="501"/>
      <c r="H56" s="501"/>
      <c r="I56" s="501"/>
      <c r="J56" s="501"/>
      <c r="K56" s="501"/>
      <c r="L56" s="501"/>
      <c r="M56" s="501"/>
    </row>
    <row r="57" spans="1:13" ht="12" customHeight="1">
      <c r="A57" s="501"/>
      <c r="B57" s="548" t="s">
        <v>683</v>
      </c>
      <c r="C57" s="450">
        <f>C14*C8*2</f>
        <v>0</v>
      </c>
      <c r="D57" s="649"/>
      <c r="E57" s="439">
        <f t="shared" si="1"/>
        <v>0</v>
      </c>
      <c r="F57" s="501"/>
      <c r="G57" s="501"/>
      <c r="H57" s="501"/>
      <c r="I57" s="501"/>
      <c r="J57" s="501"/>
      <c r="K57" s="501"/>
      <c r="L57" s="501"/>
      <c r="M57" s="501"/>
    </row>
    <row r="58" spans="1:13" ht="12" customHeight="1">
      <c r="A58" s="501"/>
      <c r="B58" s="778" t="s">
        <v>456</v>
      </c>
      <c r="C58" s="365">
        <f>C9*C6*2</f>
        <v>0</v>
      </c>
      <c r="D58" s="342"/>
      <c r="E58" s="366">
        <f t="shared" si="1"/>
        <v>0</v>
      </c>
      <c r="F58" s="501"/>
      <c r="G58" s="501"/>
      <c r="H58" s="501"/>
      <c r="I58" s="501"/>
      <c r="J58" s="501"/>
      <c r="K58" s="501"/>
      <c r="L58" s="501"/>
      <c r="M58" s="501"/>
    </row>
    <row r="59" spans="1:13" ht="12" customHeight="1">
      <c r="A59" s="501"/>
      <c r="B59" s="778" t="s">
        <v>514</v>
      </c>
      <c r="C59" s="365">
        <f>C12*C6*2</f>
        <v>0</v>
      </c>
      <c r="D59" s="342"/>
      <c r="E59" s="366">
        <f t="shared" si="1"/>
        <v>0</v>
      </c>
      <c r="F59" s="501"/>
      <c r="G59" s="501"/>
      <c r="H59" s="501"/>
      <c r="I59" s="501"/>
      <c r="J59" s="501"/>
      <c r="K59" s="501"/>
      <c r="L59" s="501"/>
      <c r="M59" s="501"/>
    </row>
    <row r="60" spans="1:13" ht="12" customHeight="1">
      <c r="A60" s="501"/>
      <c r="B60" s="778" t="s">
        <v>515</v>
      </c>
      <c r="C60" s="365">
        <f>C10*C7*2</f>
        <v>0</v>
      </c>
      <c r="D60" s="342"/>
      <c r="E60" s="366">
        <f t="shared" si="1"/>
        <v>0</v>
      </c>
      <c r="F60" s="501"/>
      <c r="G60" s="501"/>
      <c r="H60" s="501"/>
      <c r="I60" s="501"/>
      <c r="J60" s="501"/>
      <c r="K60" s="501"/>
      <c r="L60" s="501"/>
      <c r="M60" s="501"/>
    </row>
    <row r="61" spans="1:13" ht="12" customHeight="1">
      <c r="A61" s="501"/>
      <c r="B61" s="621" t="s">
        <v>203</v>
      </c>
      <c r="C61" s="602">
        <f>C21</f>
        <v>0</v>
      </c>
      <c r="D61" s="618"/>
      <c r="E61" s="496">
        <f t="shared" si="1"/>
        <v>0</v>
      </c>
      <c r="F61" s="501"/>
      <c r="G61" s="501"/>
      <c r="H61" s="501"/>
      <c r="I61" s="501"/>
      <c r="J61" s="501"/>
      <c r="K61" s="501"/>
      <c r="L61" s="501"/>
      <c r="M61" s="501"/>
    </row>
    <row r="62" spans="1:13" ht="12" customHeight="1">
      <c r="A62" s="501"/>
      <c r="B62" s="621" t="s">
        <v>206</v>
      </c>
      <c r="C62" s="602">
        <f>C20</f>
        <v>0</v>
      </c>
      <c r="D62" s="618"/>
      <c r="E62" s="496">
        <f t="shared" si="1"/>
        <v>0</v>
      </c>
      <c r="F62" s="501"/>
      <c r="G62" s="501"/>
      <c r="H62" s="501"/>
      <c r="I62" s="501"/>
      <c r="J62" s="501"/>
      <c r="K62" s="501"/>
      <c r="L62" s="501"/>
      <c r="M62" s="501"/>
    </row>
    <row r="63" spans="1:13" ht="12" customHeight="1" thickBot="1">
      <c r="A63" s="501"/>
      <c r="B63" s="781" t="s">
        <v>516</v>
      </c>
      <c r="C63" s="361">
        <f>C13*C7*2</f>
        <v>0</v>
      </c>
      <c r="D63" s="343"/>
      <c r="E63" s="367">
        <f t="shared" si="1"/>
        <v>0</v>
      </c>
      <c r="F63" s="501"/>
      <c r="G63" s="501"/>
      <c r="H63" s="501"/>
      <c r="I63" s="501"/>
      <c r="J63" s="501"/>
      <c r="K63" s="501"/>
      <c r="L63" s="501"/>
      <c r="M63" s="501"/>
    </row>
    <row r="64" spans="1:13" ht="12" customHeight="1" thickBot="1">
      <c r="A64" s="501"/>
      <c r="B64" s="501"/>
      <c r="C64" s="501"/>
      <c r="D64" s="782" t="s">
        <v>9</v>
      </c>
      <c r="E64" s="623">
        <f>SUMIF(E24:E63,"&gt;0",E24:E63)</f>
        <v>0</v>
      </c>
      <c r="F64" s="501"/>
      <c r="G64" s="501"/>
      <c r="H64" s="501"/>
      <c r="I64" s="501"/>
      <c r="J64" s="501"/>
      <c r="K64" s="501"/>
      <c r="L64" s="501"/>
      <c r="M64" s="501"/>
    </row>
    <row r="65" spans="1:13">
      <c r="A65" s="501"/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</row>
    <row r="66" spans="1:13">
      <c r="A66" s="501"/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</row>
    <row r="67" spans="1:13">
      <c r="A67" s="501"/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</row>
    <row r="68" spans="1:13" ht="11.25" customHeight="1"/>
  </sheetData>
  <sheetProtection algorithmName="SHA-512" hashValue="E2IO38UNNQwv5dm1xpf6qYfcQPAiWhJDdBICdN4UT5KUXJYQNjC81bbDohtjg8FTcB82vAP2wujC6NwQUJTLLA==" saltValue="OshHIt5JsS/QRxsSWmvmVw==" spinCount="100000" sheet="1"/>
  <mergeCells count="7">
    <mergeCell ref="B1:E1"/>
    <mergeCell ref="D20:F20"/>
    <mergeCell ref="D21:F21"/>
    <mergeCell ref="D2:F5"/>
    <mergeCell ref="D6:F8"/>
    <mergeCell ref="F9:F14"/>
    <mergeCell ref="F16:F19"/>
  </mergeCells>
  <conditionalFormatting sqref="C15">
    <cfRule type="cellIs" dxfId="47" priority="55" operator="greaterThan">
      <formula>0</formula>
    </cfRule>
  </conditionalFormatting>
  <conditionalFormatting sqref="C15">
    <cfRule type="cellIs" dxfId="46" priority="56" operator="greaterThan">
      <formula>0</formula>
    </cfRule>
  </conditionalFormatting>
  <conditionalFormatting sqref="C15">
    <cfRule type="cellIs" dxfId="45" priority="57" operator="greaterThan">
      <formula>0</formula>
    </cfRule>
  </conditionalFormatting>
  <conditionalFormatting sqref="C15">
    <cfRule type="cellIs" dxfId="44" priority="61" operator="greaterThan">
      <formula>0</formula>
    </cfRule>
  </conditionalFormatting>
  <conditionalFormatting sqref="C15">
    <cfRule type="cellIs" dxfId="43" priority="60" operator="greaterThan">
      <formula>0</formula>
    </cfRule>
  </conditionalFormatting>
  <conditionalFormatting sqref="C15">
    <cfRule type="cellIs" dxfId="42" priority="59" operator="greaterThan">
      <formula>0</formula>
    </cfRule>
  </conditionalFormatting>
  <conditionalFormatting sqref="C15">
    <cfRule type="cellIs" dxfId="41" priority="58" operator="greaterThan">
      <formula>0</formula>
    </cfRule>
  </conditionalFormatting>
  <conditionalFormatting sqref="J3:J19">
    <cfRule type="cellIs" dxfId="40" priority="28" operator="greaterThan">
      <formula>0</formula>
    </cfRule>
    <cfRule type="cellIs" dxfId="39" priority="29" operator="greaterThan">
      <formula>0</formula>
    </cfRule>
  </conditionalFormatting>
  <conditionalFormatting sqref="H10:H12">
    <cfRule type="iconSet" priority="53">
      <iconSet iconSet="3Symbols">
        <cfvo type="percent" val="0"/>
        <cfvo type="percent" val="33"/>
        <cfvo type="percent" val="67"/>
      </iconSet>
    </cfRule>
    <cfRule type="expression" priority="54">
      <formula>"H71=1"</formula>
    </cfRule>
  </conditionalFormatting>
  <conditionalFormatting sqref="H10">
    <cfRule type="iconSet" priority="52">
      <iconSet iconSet="3Symbols">
        <cfvo type="percent" val="0"/>
        <cfvo type="percent" val="33"/>
        <cfvo type="percent" val="67"/>
      </iconSet>
    </cfRule>
  </conditionalFormatting>
  <conditionalFormatting sqref="I3:I4 I10:I12 I15:I17 I6:I8">
    <cfRule type="cellIs" dxfId="38" priority="49" operator="equal">
      <formula>"ДА"</formula>
    </cfRule>
    <cfRule type="cellIs" dxfId="37" priority="50" operator="equal">
      <formula>"НЕТ"</formula>
    </cfRule>
  </conditionalFormatting>
  <conditionalFormatting sqref="I3:I4 I6:I8">
    <cfRule type="colorScale" priority="51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36" priority="46" operator="equal">
      <formula>"ДА"</formula>
    </cfRule>
    <cfRule type="cellIs" dxfId="35" priority="47" operator="equal">
      <formula>"НЕТ"</formula>
    </cfRule>
  </conditionalFormatting>
  <conditionalFormatting sqref="I5">
    <cfRule type="cellIs" dxfId="34" priority="43" operator="equal">
      <formula>"ДА"</formula>
    </cfRule>
    <cfRule type="cellIs" dxfId="33" priority="44" operator="equal">
      <formula>"НЕТ"</formula>
    </cfRule>
  </conditionalFormatting>
  <conditionalFormatting sqref="I9">
    <cfRule type="colorScale" priority="48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13">
    <cfRule type="cellIs" dxfId="32" priority="39" operator="equal">
      <formula>"ДА"</formula>
    </cfRule>
    <cfRule type="cellIs" dxfId="31" priority="40" operator="equal">
      <formula>"НЕТ"</formula>
    </cfRule>
  </conditionalFormatting>
  <conditionalFormatting sqref="I5">
    <cfRule type="colorScale" priority="45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H13">
    <cfRule type="iconSet" priority="41">
      <iconSet iconSet="3Symbols">
        <cfvo type="percent" val="0"/>
        <cfvo type="percent" val="33"/>
        <cfvo type="percent" val="67"/>
      </iconSet>
    </cfRule>
    <cfRule type="expression" priority="42">
      <formula>"H71=1"</formula>
    </cfRule>
  </conditionalFormatting>
  <conditionalFormatting sqref="I14">
    <cfRule type="cellIs" dxfId="30" priority="35" operator="equal">
      <formula>"ДА"</formula>
    </cfRule>
    <cfRule type="cellIs" dxfId="29" priority="36" operator="equal">
      <formula>"НЕТ"</formula>
    </cfRule>
  </conditionalFormatting>
  <conditionalFormatting sqref="H14">
    <cfRule type="iconSet" priority="37">
      <iconSet iconSet="3Symbols">
        <cfvo type="percent" val="0"/>
        <cfvo type="percent" val="33"/>
        <cfvo type="percent" val="67"/>
      </iconSet>
    </cfRule>
    <cfRule type="expression" priority="38">
      <formula>"H71=1"</formula>
    </cfRule>
  </conditionalFormatting>
  <conditionalFormatting sqref="I18">
    <cfRule type="cellIs" dxfId="28" priority="33" operator="equal">
      <formula>"ДА"</formula>
    </cfRule>
    <cfRule type="cellIs" dxfId="27" priority="34" operator="equal">
      <formula>"НЕТ"</formula>
    </cfRule>
  </conditionalFormatting>
  <conditionalFormatting sqref="I19">
    <cfRule type="cellIs" dxfId="26" priority="31" operator="equal">
      <formula>"ДА"</formula>
    </cfRule>
    <cfRule type="cellIs" dxfId="25" priority="32" operator="equal">
      <formula>"НЕТ"</formula>
    </cfRule>
  </conditionalFormatting>
  <conditionalFormatting sqref="K3:K19">
    <cfRule type="cellIs" dxfId="24" priority="30" operator="greaterThan">
      <formula>0</formula>
    </cfRule>
  </conditionalFormatting>
  <conditionalFormatting sqref="I15:I19">
    <cfRule type="cellIs" dxfId="23" priority="27" operator="equal">
      <formula>"НЕТ"</formula>
    </cfRule>
  </conditionalFormatting>
  <conditionalFormatting sqref="I3:I19">
    <cfRule type="cellIs" dxfId="22" priority="25" operator="equal">
      <formula>"НЕТ"</formula>
    </cfRule>
    <cfRule type="cellIs" dxfId="21" priority="26" operator="equal">
      <formula>"ДА"</formula>
    </cfRule>
  </conditionalFormatting>
  <conditionalFormatting sqref="I3:I18">
    <cfRule type="cellIs" dxfId="20" priority="24" operator="equal">
      <formula>"ДА"</formula>
    </cfRule>
  </conditionalFormatting>
  <conditionalFormatting sqref="I5">
    <cfRule type="cellIs" dxfId="19" priority="21" operator="equal">
      <formula>"ДА"</formula>
    </cfRule>
    <cfRule type="cellIs" dxfId="18" priority="22" operator="equal">
      <formula>"НЕТ"</formula>
    </cfRule>
  </conditionalFormatting>
  <conditionalFormatting sqref="I5">
    <cfRule type="colorScale" priority="23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I9">
    <cfRule type="cellIs" dxfId="17" priority="18" operator="equal">
      <formula>"ДА"</formula>
    </cfRule>
    <cfRule type="cellIs" dxfId="16" priority="19" operator="equal">
      <formula>"НЕТ"</formula>
    </cfRule>
  </conditionalFormatting>
  <conditionalFormatting sqref="I9">
    <cfRule type="colorScale" priority="20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J3:K19">
    <cfRule type="cellIs" dxfId="15" priority="12" operator="greaterThan">
      <formula>0</formula>
    </cfRule>
    <cfRule type="cellIs" dxfId="14" priority="13" operator="greaterThan">
      <formula>0</formula>
    </cfRule>
    <cfRule type="cellIs" dxfId="13" priority="17" operator="greaterThan">
      <formula>0</formula>
    </cfRule>
  </conditionalFormatting>
  <conditionalFormatting sqref="I5">
    <cfRule type="cellIs" dxfId="12" priority="14" operator="equal">
      <formula>"ДА"</formula>
    </cfRule>
    <cfRule type="cellIs" dxfId="11" priority="15" operator="equal">
      <formula>"НЕТ"</formula>
    </cfRule>
  </conditionalFormatting>
  <conditionalFormatting sqref="I5">
    <cfRule type="colorScale" priority="16">
      <colorScale>
        <cfvo type="num" val="&quot;НЕТ&quot;"/>
        <cfvo type="num" val="&quot;ДА&quot;"/>
        <color rgb="FFFF0000"/>
        <color rgb="FF00B050"/>
      </colorScale>
    </cfRule>
  </conditionalFormatting>
  <conditionalFormatting sqref="C56:E56">
    <cfRule type="cellIs" dxfId="10" priority="11" operator="greaterThan">
      <formula>0</formula>
    </cfRule>
  </conditionalFormatting>
  <conditionalFormatting sqref="C57:E57">
    <cfRule type="cellIs" dxfId="9" priority="10" operator="greaterThan">
      <formula>0</formula>
    </cfRule>
  </conditionalFormatting>
  <conditionalFormatting sqref="C56:E57">
    <cfRule type="cellIs" dxfId="8" priority="9" operator="greaterThan">
      <formula>0</formula>
    </cfRule>
  </conditionalFormatting>
  <conditionalFormatting sqref="C56:E57">
    <cfRule type="cellIs" dxfId="7" priority="8" operator="greaterThan">
      <formula>0</formula>
    </cfRule>
  </conditionalFormatting>
  <conditionalFormatting sqref="C56:E57">
    <cfRule type="cellIs" dxfId="6" priority="7" operator="greaterThan">
      <formula>0</formula>
    </cfRule>
  </conditionalFormatting>
  <conditionalFormatting sqref="C56:E57">
    <cfRule type="cellIs" dxfId="5" priority="6" operator="greaterThan">
      <formula>0</formula>
    </cfRule>
  </conditionalFormatting>
  <conditionalFormatting sqref="E64">
    <cfRule type="cellIs" dxfId="4" priority="5" operator="greaterThan">
      <formula>0</formula>
    </cfRule>
  </conditionalFormatting>
  <conditionalFormatting sqref="C2:C19">
    <cfRule type="cellIs" dxfId="3" priority="4" operator="greaterThan">
      <formula>0</formula>
    </cfRule>
  </conditionalFormatting>
  <conditionalFormatting sqref="C24:E60 C63:E63">
    <cfRule type="cellIs" dxfId="2" priority="3" operator="greaterThan">
      <formula>0</formula>
    </cfRule>
  </conditionalFormatting>
  <conditionalFormatting sqref="C20:C21">
    <cfRule type="cellIs" dxfId="1" priority="2" operator="greaterThan">
      <formula>0</formula>
    </cfRule>
  </conditionalFormatting>
  <conditionalFormatting sqref="C61:E62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39"/>
  <sheetViews>
    <sheetView zoomScale="115" workbookViewId="0">
      <selection activeCell="A29" sqref="A29"/>
    </sheetView>
  </sheetViews>
  <sheetFormatPr defaultRowHeight="11.25"/>
  <cols>
    <col min="1" max="1" width="58.33203125" customWidth="1"/>
    <col min="2" max="2" width="10" bestFit="1" customWidth="1"/>
    <col min="3" max="3" width="8.5" bestFit="1" customWidth="1"/>
    <col min="4" max="4" width="7.33203125" customWidth="1"/>
    <col min="5" max="5" width="30.6640625" customWidth="1"/>
    <col min="6" max="6" width="3.83203125" customWidth="1"/>
  </cols>
  <sheetData>
    <row r="1" spans="1:12" ht="27" thickBot="1">
      <c r="A1" s="888" t="s">
        <v>173</v>
      </c>
      <c r="B1" s="889"/>
      <c r="C1" s="889"/>
      <c r="D1" s="889"/>
      <c r="E1" s="890"/>
    </row>
    <row r="2" spans="1:12" ht="15" thickBot="1">
      <c r="A2" s="891" t="s">
        <v>3</v>
      </c>
      <c r="B2" s="892"/>
      <c r="C2" s="892"/>
      <c r="D2" s="892"/>
      <c r="E2" s="893"/>
    </row>
    <row r="3" spans="1:12">
      <c r="A3" s="52" t="s">
        <v>6</v>
      </c>
      <c r="B3" s="386">
        <v>0.6</v>
      </c>
      <c r="C3" s="894" t="s">
        <v>30</v>
      </c>
      <c r="D3" s="895"/>
      <c r="E3" s="896"/>
      <c r="G3" s="871" t="s">
        <v>150</v>
      </c>
      <c r="H3" s="872"/>
      <c r="I3" s="872"/>
      <c r="J3" s="872"/>
      <c r="K3" s="872"/>
      <c r="L3" s="873"/>
    </row>
    <row r="4" spans="1:12" ht="12" thickBot="1">
      <c r="A4" s="53" t="s">
        <v>1</v>
      </c>
      <c r="B4" s="397">
        <v>1.6</v>
      </c>
      <c r="C4" s="897" t="s">
        <v>30</v>
      </c>
      <c r="D4" s="898"/>
      <c r="E4" s="899"/>
      <c r="G4" s="874"/>
      <c r="H4" s="875"/>
      <c r="I4" s="875"/>
      <c r="J4" s="875"/>
      <c r="K4" s="875"/>
      <c r="L4" s="876"/>
    </row>
    <row r="5" spans="1:12">
      <c r="A5" s="53" t="s">
        <v>36</v>
      </c>
      <c r="B5" s="397">
        <v>2</v>
      </c>
      <c r="C5" s="900" t="s">
        <v>37</v>
      </c>
      <c r="D5" s="901"/>
      <c r="E5" s="902"/>
    </row>
    <row r="6" spans="1:12">
      <c r="A6" s="53" t="s">
        <v>31</v>
      </c>
      <c r="B6" s="398">
        <v>1</v>
      </c>
      <c r="C6" s="900" t="s">
        <v>33</v>
      </c>
      <c r="D6" s="915"/>
      <c r="E6" s="916"/>
    </row>
    <row r="7" spans="1:12" ht="12" customHeight="1">
      <c r="A7" s="53" t="s">
        <v>177</v>
      </c>
      <c r="B7" s="398">
        <v>3</v>
      </c>
      <c r="C7" s="912" t="s">
        <v>662</v>
      </c>
      <c r="D7" s="917"/>
      <c r="E7" s="918"/>
    </row>
    <row r="8" spans="1:12" ht="15" customHeight="1">
      <c r="A8" s="53" t="s">
        <v>38</v>
      </c>
      <c r="B8" s="398">
        <v>1</v>
      </c>
      <c r="C8" s="912" t="s">
        <v>663</v>
      </c>
      <c r="D8" s="913"/>
      <c r="E8" s="914"/>
    </row>
    <row r="9" spans="1:12" ht="12.75" customHeight="1">
      <c r="A9" s="56" t="s">
        <v>32</v>
      </c>
      <c r="B9" s="399">
        <v>1</v>
      </c>
      <c r="C9" s="909" t="s">
        <v>664</v>
      </c>
      <c r="D9" s="910"/>
      <c r="E9" s="911"/>
    </row>
    <row r="10" spans="1:12">
      <c r="A10" s="172" t="s">
        <v>53</v>
      </c>
      <c r="B10" s="399">
        <v>10</v>
      </c>
      <c r="C10" s="906" t="s">
        <v>30</v>
      </c>
      <c r="D10" s="907"/>
      <c r="E10" s="908"/>
    </row>
    <row r="11" spans="1:12">
      <c r="A11" s="199" t="s">
        <v>651</v>
      </c>
      <c r="B11" s="399">
        <v>1</v>
      </c>
      <c r="C11" s="906"/>
      <c r="D11" s="907"/>
      <c r="E11" s="908"/>
    </row>
    <row r="12" spans="1:12">
      <c r="A12" s="388" t="s">
        <v>648</v>
      </c>
      <c r="B12" s="399">
        <v>50</v>
      </c>
      <c r="C12" s="906"/>
      <c r="D12" s="907"/>
      <c r="E12" s="908"/>
    </row>
    <row r="13" spans="1:12" ht="12" thickBot="1">
      <c r="A13" s="396" t="s">
        <v>660</v>
      </c>
      <c r="B13" s="400">
        <v>0</v>
      </c>
      <c r="C13" s="903" t="s">
        <v>33</v>
      </c>
      <c r="D13" s="904"/>
      <c r="E13" s="905"/>
    </row>
    <row r="14" spans="1:12" s="395" customFormat="1" ht="12" thickBot="1">
      <c r="A14" s="390"/>
      <c r="B14" s="391"/>
      <c r="C14" s="392"/>
      <c r="D14" s="393"/>
      <c r="E14" s="394"/>
    </row>
    <row r="15" spans="1:12" ht="12.75">
      <c r="A15" s="65" t="s">
        <v>7</v>
      </c>
      <c r="B15" s="389" t="s">
        <v>85</v>
      </c>
      <c r="C15" s="119" t="s">
        <v>0</v>
      </c>
      <c r="D15" s="66" t="s">
        <v>4</v>
      </c>
      <c r="E15" s="67" t="s">
        <v>8</v>
      </c>
    </row>
    <row r="16" spans="1:12">
      <c r="A16" s="28" t="s">
        <v>658</v>
      </c>
      <c r="B16" s="48"/>
      <c r="C16" s="107">
        <f>(IF(B5=2,B3-0.031,B3+0.005))*B10</f>
        <v>5.6899999999999995</v>
      </c>
      <c r="D16" s="64"/>
      <c r="E16" s="68">
        <f t="shared" ref="E16:E33" si="0">C16*D16</f>
        <v>0</v>
      </c>
    </row>
    <row r="17" spans="1:5">
      <c r="A17" s="32" t="s">
        <v>52</v>
      </c>
      <c r="B17" s="48"/>
      <c r="C17" s="107">
        <f>2*B10</f>
        <v>20</v>
      </c>
      <c r="D17" s="64"/>
      <c r="E17" s="68">
        <f t="shared" si="0"/>
        <v>0</v>
      </c>
    </row>
    <row r="18" spans="1:5">
      <c r="A18" s="28" t="s">
        <v>51</v>
      </c>
      <c r="B18" s="48"/>
      <c r="C18" s="107">
        <f>(IF(B5=1,B3,B3-0.036))*B10</f>
        <v>5.64</v>
      </c>
      <c r="D18" s="64"/>
      <c r="E18" s="68">
        <f t="shared" si="0"/>
        <v>0</v>
      </c>
    </row>
    <row r="19" spans="1:5">
      <c r="A19" s="28" t="s">
        <v>50</v>
      </c>
      <c r="B19" s="48"/>
      <c r="C19" s="107">
        <f>C16</f>
        <v>5.6899999999999995</v>
      </c>
      <c r="D19" s="64"/>
      <c r="E19" s="68">
        <f t="shared" si="0"/>
        <v>0</v>
      </c>
    </row>
    <row r="20" spans="1:5">
      <c r="A20" s="28" t="s">
        <v>49</v>
      </c>
      <c r="B20" s="48"/>
      <c r="C20" s="107">
        <f>C18</f>
        <v>5.64</v>
      </c>
      <c r="D20" s="64"/>
      <c r="E20" s="68">
        <f t="shared" si="0"/>
        <v>0</v>
      </c>
    </row>
    <row r="21" spans="1:5">
      <c r="A21" s="28" t="s">
        <v>39</v>
      </c>
      <c r="B21" s="48"/>
      <c r="C21" s="107">
        <f>C18</f>
        <v>5.64</v>
      </c>
      <c r="D21" s="64"/>
      <c r="E21" s="68">
        <f t="shared" si="0"/>
        <v>0</v>
      </c>
    </row>
    <row r="22" spans="1:5">
      <c r="A22" s="120" t="s">
        <v>40</v>
      </c>
      <c r="B22" s="48"/>
      <c r="C22" s="107">
        <f>(IF(B6=1,B4*2+0.2,0))*B10</f>
        <v>34</v>
      </c>
      <c r="D22" s="64"/>
      <c r="E22" s="68">
        <f t="shared" si="0"/>
        <v>0</v>
      </c>
    </row>
    <row r="23" spans="1:5">
      <c r="A23" s="121" t="s">
        <v>41</v>
      </c>
      <c r="B23" s="48"/>
      <c r="C23" s="107">
        <f>(IF(B6=1,IF(B13=0,2,0))*B10)</f>
        <v>20</v>
      </c>
      <c r="D23" s="64"/>
      <c r="E23" s="68">
        <f t="shared" si="0"/>
        <v>0</v>
      </c>
    </row>
    <row r="24" spans="1:5">
      <c r="A24" s="121" t="s">
        <v>661</v>
      </c>
      <c r="B24" s="384"/>
      <c r="C24" s="385">
        <f>(IF(B13=1,IF(B6=1,2,0),0))*B10</f>
        <v>0</v>
      </c>
      <c r="D24" s="64"/>
      <c r="E24" s="68"/>
    </row>
    <row r="25" spans="1:5">
      <c r="A25" s="121" t="s">
        <v>42</v>
      </c>
      <c r="B25" s="48"/>
      <c r="C25" s="107">
        <f>(IF(B9=3,2,0))*B10</f>
        <v>0</v>
      </c>
      <c r="D25" s="64"/>
      <c r="E25" s="68">
        <f t="shared" si="0"/>
        <v>0</v>
      </c>
    </row>
    <row r="26" spans="1:5">
      <c r="A26" s="121" t="s">
        <v>43</v>
      </c>
      <c r="B26" s="48"/>
      <c r="C26" s="107">
        <f>(IF(B6=1,(IF(B7=1,2,0)),0))*B10</f>
        <v>0</v>
      </c>
      <c r="D26" s="64"/>
      <c r="E26" s="68">
        <f t="shared" si="0"/>
        <v>0</v>
      </c>
    </row>
    <row r="27" spans="1:5">
      <c r="A27" s="121" t="s">
        <v>234</v>
      </c>
      <c r="B27" s="161"/>
      <c r="C27" s="162">
        <f>(IF(B6=1,(IF(B7=2,2,0)),0))*B10</f>
        <v>0</v>
      </c>
      <c r="D27" s="64"/>
      <c r="E27" s="68">
        <f t="shared" si="0"/>
        <v>0</v>
      </c>
    </row>
    <row r="28" spans="1:5">
      <c r="A28" s="121" t="s">
        <v>176</v>
      </c>
      <c r="B28" s="384"/>
      <c r="C28" s="385">
        <f>(IF(B6=1,(IF(B7=3,2,0)),0))*B10</f>
        <v>20</v>
      </c>
      <c r="D28" s="64"/>
      <c r="E28" s="68"/>
    </row>
    <row r="29" spans="1:5">
      <c r="A29" s="121" t="s">
        <v>235</v>
      </c>
      <c r="B29" s="161"/>
      <c r="C29" s="162">
        <f>(IF(B6=1,(IF(B7=2,2,0)),0))*B10</f>
        <v>0</v>
      </c>
      <c r="D29" s="64"/>
      <c r="E29" s="68">
        <f t="shared" si="0"/>
        <v>0</v>
      </c>
    </row>
    <row r="30" spans="1:5">
      <c r="A30" s="121" t="s">
        <v>44</v>
      </c>
      <c r="B30" s="48"/>
      <c r="C30" s="107">
        <f>(IF(B9=2,2,0))*B10</f>
        <v>0</v>
      </c>
      <c r="D30" s="64"/>
      <c r="E30" s="68">
        <f t="shared" si="0"/>
        <v>0</v>
      </c>
    </row>
    <row r="31" spans="1:5">
      <c r="A31" s="121" t="s">
        <v>45</v>
      </c>
      <c r="B31" s="48"/>
      <c r="C31" s="107">
        <f>(IF(B9=2,2,0))*B10</f>
        <v>0</v>
      </c>
      <c r="D31" s="64"/>
      <c r="E31" s="68">
        <f t="shared" si="0"/>
        <v>0</v>
      </c>
    </row>
    <row r="32" spans="1:5">
      <c r="A32" s="121" t="s">
        <v>46</v>
      </c>
      <c r="B32" s="48"/>
      <c r="C32" s="107">
        <f>(IF(B8&gt;=1,IF(B7=0,2,0),0)*B10)</f>
        <v>0</v>
      </c>
      <c r="D32" s="64"/>
      <c r="E32" s="68">
        <f t="shared" si="0"/>
        <v>0</v>
      </c>
    </row>
    <row r="33" spans="1:5">
      <c r="A33" s="121" t="s">
        <v>47</v>
      </c>
      <c r="B33" s="48"/>
      <c r="C33" s="385">
        <f>IF(B8=2,IF(B7&gt;0,0,2),0)*B10</f>
        <v>0</v>
      </c>
      <c r="D33" s="64"/>
      <c r="E33" s="68">
        <f t="shared" si="0"/>
        <v>0</v>
      </c>
    </row>
    <row r="34" spans="1:5">
      <c r="A34" s="59" t="s">
        <v>48</v>
      </c>
      <c r="B34" s="153"/>
      <c r="C34" s="154">
        <f>(IF(B8=2,IF(B7=0,0.02,0),0)*B10)</f>
        <v>0</v>
      </c>
      <c r="D34" s="64"/>
      <c r="E34" s="68">
        <f>C34*D34</f>
        <v>0</v>
      </c>
    </row>
    <row r="35" spans="1:5">
      <c r="A35" s="59" t="s">
        <v>302</v>
      </c>
      <c r="B35" s="153"/>
      <c r="C35" s="154">
        <f>B10</f>
        <v>10</v>
      </c>
      <c r="D35" s="64"/>
      <c r="E35" s="68">
        <f>C35*D35</f>
        <v>0</v>
      </c>
    </row>
    <row r="36" spans="1:5">
      <c r="A36" s="28" t="s">
        <v>646</v>
      </c>
      <c r="B36" s="29"/>
      <c r="C36" s="169">
        <f>B10</f>
        <v>10</v>
      </c>
      <c r="D36" s="108"/>
      <c r="E36" s="175">
        <f>D36*C36</f>
        <v>0</v>
      </c>
    </row>
    <row r="37" spans="1:5">
      <c r="A37" s="166" t="s">
        <v>659</v>
      </c>
      <c r="B37" s="157"/>
      <c r="C37" s="170">
        <f>B11</f>
        <v>1</v>
      </c>
      <c r="D37" s="159"/>
      <c r="E37" s="176">
        <f>C37*D37</f>
        <v>0</v>
      </c>
    </row>
    <row r="38" spans="1:5" ht="12" thickBot="1">
      <c r="A38" s="28" t="s">
        <v>649</v>
      </c>
      <c r="B38" s="167"/>
      <c r="C38" s="171">
        <f>B12</f>
        <v>50</v>
      </c>
      <c r="D38" s="168"/>
      <c r="E38" s="177">
        <f>D38*C38</f>
        <v>0</v>
      </c>
    </row>
    <row r="39" spans="1:5">
      <c r="D39" s="3" t="s">
        <v>9</v>
      </c>
      <c r="E39" s="3">
        <f>SUM(E16:E38)</f>
        <v>0</v>
      </c>
    </row>
  </sheetData>
  <mergeCells count="14">
    <mergeCell ref="C13:E13"/>
    <mergeCell ref="G3:L4"/>
    <mergeCell ref="C12:E12"/>
    <mergeCell ref="C10:E10"/>
    <mergeCell ref="C9:E9"/>
    <mergeCell ref="C8:E8"/>
    <mergeCell ref="C6:E6"/>
    <mergeCell ref="C7:E7"/>
    <mergeCell ref="C11:E11"/>
    <mergeCell ref="A1:E1"/>
    <mergeCell ref="A2:E2"/>
    <mergeCell ref="C3:E3"/>
    <mergeCell ref="C4:E4"/>
    <mergeCell ref="C5:E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39"/>
  <sheetViews>
    <sheetView workbookViewId="0">
      <selection activeCell="D54" sqref="D54"/>
    </sheetView>
  </sheetViews>
  <sheetFormatPr defaultRowHeight="11.25"/>
  <cols>
    <col min="1" max="1" width="52" customWidth="1"/>
    <col min="2" max="2" width="15.33203125" customWidth="1"/>
    <col min="3" max="3" width="16" customWidth="1"/>
    <col min="4" max="4" width="18.5" customWidth="1"/>
    <col min="9" max="9" width="0" hidden="1" customWidth="1"/>
  </cols>
  <sheetData>
    <row r="1" spans="1:9" ht="27" thickBot="1">
      <c r="A1" s="869" t="s">
        <v>775</v>
      </c>
      <c r="B1" s="870"/>
      <c r="C1" s="870"/>
      <c r="D1" s="870"/>
      <c r="E1" s="829"/>
      <c r="F1" s="87"/>
    </row>
    <row r="2" spans="1:9">
      <c r="A2" s="926" t="s">
        <v>10</v>
      </c>
      <c r="B2" s="927"/>
      <c r="C2" s="927"/>
      <c r="D2" s="831"/>
    </row>
    <row r="3" spans="1:9">
      <c r="A3" s="924" t="s">
        <v>1</v>
      </c>
      <c r="B3" s="925"/>
      <c r="C3" s="925"/>
      <c r="D3" s="832"/>
    </row>
    <row r="4" spans="1:9">
      <c r="A4" s="924" t="s">
        <v>2</v>
      </c>
      <c r="B4" s="925"/>
      <c r="C4" s="925"/>
      <c r="D4" s="833"/>
    </row>
    <row r="5" spans="1:9">
      <c r="A5" s="924" t="s">
        <v>776</v>
      </c>
      <c r="B5" s="925"/>
      <c r="C5" s="925"/>
      <c r="D5" s="833"/>
      <c r="I5" s="830"/>
    </row>
    <row r="6" spans="1:9">
      <c r="A6" s="919" t="s">
        <v>648</v>
      </c>
      <c r="B6" s="920"/>
      <c r="C6" s="921"/>
      <c r="D6" s="833"/>
      <c r="I6" s="830"/>
    </row>
    <row r="7" spans="1:9">
      <c r="A7" s="924" t="s">
        <v>170</v>
      </c>
      <c r="B7" s="925"/>
      <c r="C7" s="925"/>
      <c r="D7" s="856"/>
      <c r="I7" s="830"/>
    </row>
    <row r="8" spans="1:9" ht="12" thickBot="1">
      <c r="A8" s="922" t="s">
        <v>651</v>
      </c>
      <c r="B8" s="923"/>
      <c r="C8" s="923"/>
      <c r="D8" s="834"/>
      <c r="I8" s="830"/>
    </row>
    <row r="9" spans="1:9">
      <c r="A9" s="21"/>
      <c r="B9" s="22"/>
      <c r="C9" s="17"/>
      <c r="D9" s="17"/>
      <c r="E9" s="17"/>
      <c r="F9" s="87"/>
      <c r="I9" s="830" t="s">
        <v>789</v>
      </c>
    </row>
    <row r="10" spans="1:9" ht="12" thickBot="1">
      <c r="A10" s="23" t="s">
        <v>11</v>
      </c>
      <c r="B10" s="24"/>
      <c r="C10" s="24"/>
      <c r="D10" s="24"/>
      <c r="E10" s="17"/>
      <c r="F10" s="87"/>
      <c r="I10" s="830" t="s">
        <v>790</v>
      </c>
    </row>
    <row r="11" spans="1:9">
      <c r="A11" s="25"/>
      <c r="B11" s="27" t="s">
        <v>4</v>
      </c>
      <c r="C11" s="27" t="s">
        <v>13</v>
      </c>
      <c r="D11" s="835" t="s">
        <v>8</v>
      </c>
      <c r="F11" s="87"/>
    </row>
    <row r="12" spans="1:9">
      <c r="A12" s="836" t="s">
        <v>104</v>
      </c>
      <c r="B12" s="837"/>
      <c r="C12" s="152">
        <f>4*D4</f>
        <v>0</v>
      </c>
      <c r="D12" s="31">
        <f>C12*B12</f>
        <v>0</v>
      </c>
      <c r="F12" s="87"/>
    </row>
    <row r="13" spans="1:9">
      <c r="A13" s="836" t="s">
        <v>782</v>
      </c>
      <c r="B13" s="839"/>
      <c r="C13" s="840">
        <f>D4</f>
        <v>0</v>
      </c>
      <c r="D13" s="31">
        <f>C13*B13</f>
        <v>0</v>
      </c>
      <c r="F13" s="87"/>
    </row>
    <row r="14" spans="1:9">
      <c r="A14" s="846" t="s">
        <v>791</v>
      </c>
      <c r="B14" s="837"/>
      <c r="C14" s="152">
        <f>D4</f>
        <v>0</v>
      </c>
      <c r="D14" s="31">
        <f t="shared" ref="D14:D27" si="0">C14*B14</f>
        <v>0</v>
      </c>
      <c r="F14" s="87"/>
    </row>
    <row r="15" spans="1:9">
      <c r="A15" s="836" t="s">
        <v>777</v>
      </c>
      <c r="B15" s="837"/>
      <c r="C15" s="152">
        <f>IF(D2&gt;0,(D2-0.016)*D4,0)</f>
        <v>0</v>
      </c>
      <c r="D15" s="31">
        <f t="shared" si="0"/>
        <v>0</v>
      </c>
      <c r="F15" s="853"/>
    </row>
    <row r="16" spans="1:9">
      <c r="A16" s="836" t="s">
        <v>778</v>
      </c>
      <c r="B16" s="837"/>
      <c r="C16" s="841">
        <f>IF(D2&gt;0,(D2-0.02)*D4,0)</f>
        <v>0</v>
      </c>
      <c r="D16" s="31">
        <f t="shared" si="0"/>
        <v>0</v>
      </c>
      <c r="F16" s="87"/>
    </row>
    <row r="17" spans="1:6">
      <c r="A17" s="838" t="s">
        <v>15</v>
      </c>
      <c r="B17" s="839"/>
      <c r="C17" s="152">
        <f>D4*2</f>
        <v>0</v>
      </c>
      <c r="D17" s="31">
        <f t="shared" si="0"/>
        <v>0</v>
      </c>
      <c r="F17" s="87"/>
    </row>
    <row r="18" spans="1:6">
      <c r="A18" s="836" t="s">
        <v>779</v>
      </c>
      <c r="B18" s="837"/>
      <c r="C18" s="152">
        <f>IF(D3&gt;0,(D3-0.035)*2*D4,0)</f>
        <v>0</v>
      </c>
      <c r="D18" s="31">
        <f t="shared" si="0"/>
        <v>0</v>
      </c>
      <c r="F18" s="87"/>
    </row>
    <row r="19" spans="1:6">
      <c r="A19" s="836" t="s">
        <v>780</v>
      </c>
      <c r="B19" s="837"/>
      <c r="C19" s="152">
        <f>IF(D2&gt;0,(D2-0.022)*D4,0)</f>
        <v>0</v>
      </c>
      <c r="D19" s="31">
        <f t="shared" si="0"/>
        <v>0</v>
      </c>
      <c r="F19" s="87"/>
    </row>
    <row r="20" spans="1:6">
      <c r="A20" s="836" t="s">
        <v>18</v>
      </c>
      <c r="B20" s="837"/>
      <c r="C20" s="152">
        <f>IF(D3&gt;0,(D3-0.035)*2*D4,0)</f>
        <v>0</v>
      </c>
      <c r="D20" s="31">
        <f t="shared" si="0"/>
        <v>0</v>
      </c>
      <c r="F20" s="87"/>
    </row>
    <row r="21" spans="1:6">
      <c r="A21" s="836" t="s">
        <v>19</v>
      </c>
      <c r="B21" s="842"/>
      <c r="C21" s="152">
        <f>IF(D2&gt;0,(D2-0.016)*D4,0)</f>
        <v>0</v>
      </c>
      <c r="D21" s="31">
        <f t="shared" si="0"/>
        <v>0</v>
      </c>
      <c r="F21" s="87"/>
    </row>
    <row r="22" spans="1:6">
      <c r="A22" s="836" t="s">
        <v>20</v>
      </c>
      <c r="B22" s="842"/>
      <c r="C22" s="152">
        <f>IF(D2&gt;0,(D2-0.022)*D4,0)</f>
        <v>0</v>
      </c>
      <c r="D22" s="31">
        <f t="shared" si="0"/>
        <v>0</v>
      </c>
      <c r="F22" s="87"/>
    </row>
    <row r="23" spans="1:6">
      <c r="A23" s="836" t="s">
        <v>781</v>
      </c>
      <c r="B23" s="837"/>
      <c r="C23" s="152">
        <f>IF(D2&gt;0,(D2-0.022)*D4,0)</f>
        <v>0</v>
      </c>
      <c r="D23" s="31">
        <f t="shared" si="0"/>
        <v>0</v>
      </c>
      <c r="F23" s="87"/>
    </row>
    <row r="24" spans="1:6">
      <c r="A24" s="836" t="s">
        <v>646</v>
      </c>
      <c r="B24" s="843"/>
      <c r="C24" s="844">
        <f>D4</f>
        <v>0</v>
      </c>
      <c r="D24" s="845">
        <f t="shared" si="0"/>
        <v>0</v>
      </c>
      <c r="F24" s="87"/>
    </row>
    <row r="25" spans="1:6">
      <c r="A25" s="836" t="s">
        <v>650</v>
      </c>
      <c r="B25" s="843"/>
      <c r="C25" s="844">
        <f>D8</f>
        <v>0</v>
      </c>
      <c r="D25" s="845">
        <f t="shared" si="0"/>
        <v>0</v>
      </c>
      <c r="F25" s="87"/>
    </row>
    <row r="26" spans="1:6">
      <c r="A26" s="836" t="s">
        <v>649</v>
      </c>
      <c r="B26" s="843"/>
      <c r="C26" s="844">
        <f>D7</f>
        <v>0</v>
      </c>
      <c r="D26" s="845">
        <f t="shared" si="0"/>
        <v>0</v>
      </c>
      <c r="F26" s="87"/>
    </row>
    <row r="27" spans="1:6" ht="12" thickBot="1">
      <c r="A27" s="848" t="s">
        <v>647</v>
      </c>
      <c r="B27" s="849"/>
      <c r="C27" s="39">
        <f>D6</f>
        <v>0</v>
      </c>
      <c r="D27" s="40">
        <f t="shared" si="0"/>
        <v>0</v>
      </c>
      <c r="F27" s="87"/>
    </row>
    <row r="28" spans="1:6" ht="12" thickBot="1">
      <c r="A28" s="850" t="s">
        <v>783</v>
      </c>
      <c r="B28" s="17"/>
      <c r="C28" s="17"/>
      <c r="D28" s="854">
        <f>SUM(D12:D27)</f>
        <v>0</v>
      </c>
      <c r="E28" s="17"/>
      <c r="F28" s="87"/>
    </row>
    <row r="29" spans="1:6" ht="12" thickBot="1">
      <c r="A29" s="21"/>
      <c r="B29" s="17"/>
      <c r="C29" s="17"/>
      <c r="D29" s="17"/>
      <c r="E29" s="17"/>
      <c r="F29" s="87"/>
    </row>
    <row r="30" spans="1:6">
      <c r="A30" s="42" t="s">
        <v>35</v>
      </c>
      <c r="B30" s="26"/>
      <c r="C30" s="26"/>
      <c r="D30" s="122"/>
      <c r="F30" s="87"/>
    </row>
    <row r="31" spans="1:6">
      <c r="A31" s="836" t="s">
        <v>784</v>
      </c>
      <c r="B31" s="837"/>
      <c r="C31" s="152">
        <f>IF(D5="Нет",D4,0)</f>
        <v>0</v>
      </c>
      <c r="D31" s="31">
        <f t="shared" ref="D31:D33" si="1">C31*B31</f>
        <v>0</v>
      </c>
      <c r="F31" s="87"/>
    </row>
    <row r="32" spans="1:6">
      <c r="A32" s="836" t="s">
        <v>785</v>
      </c>
      <c r="B32" s="837"/>
      <c r="C32" s="841">
        <f>IF(AND(D5="Нет",D2&gt;0),D4*(D2-0.02),0)</f>
        <v>0</v>
      </c>
      <c r="D32" s="31">
        <f t="shared" si="1"/>
        <v>0</v>
      </c>
      <c r="F32" s="87"/>
    </row>
    <row r="33" spans="1:6" ht="12" thickBot="1">
      <c r="A33" s="848" t="s">
        <v>25</v>
      </c>
      <c r="B33" s="849"/>
      <c r="C33" s="852">
        <f>IF(AND(D2&gt;0,D5="Нет"),((D2-0.02)+0.1)*D4,0)</f>
        <v>0</v>
      </c>
      <c r="D33" s="40">
        <f t="shared" si="1"/>
        <v>0</v>
      </c>
      <c r="F33" s="87"/>
    </row>
    <row r="34" spans="1:6" ht="12" thickBot="1">
      <c r="A34" s="850" t="s">
        <v>783</v>
      </c>
      <c r="B34" s="17"/>
      <c r="C34" s="17"/>
      <c r="D34" s="851">
        <f>SUM(D31:D33)</f>
        <v>0</v>
      </c>
      <c r="E34" s="17"/>
      <c r="F34" s="87"/>
    </row>
    <row r="35" spans="1:6">
      <c r="A35" s="46"/>
      <c r="B35" s="17"/>
      <c r="C35" s="17"/>
      <c r="D35" s="17"/>
      <c r="E35" s="17"/>
      <c r="F35" s="87"/>
    </row>
    <row r="36" spans="1:6">
      <c r="A36" s="23" t="s">
        <v>786</v>
      </c>
      <c r="B36" s="17"/>
      <c r="C36" s="17"/>
      <c r="D36" s="17"/>
      <c r="E36" s="17"/>
      <c r="F36" s="87"/>
    </row>
    <row r="37" spans="1:6" ht="12" thickBot="1">
      <c r="A37" s="23"/>
      <c r="B37" s="17"/>
      <c r="C37" s="17"/>
      <c r="D37" s="17"/>
      <c r="E37" s="17"/>
      <c r="F37" s="87"/>
    </row>
    <row r="38" spans="1:6" ht="12" thickBot="1">
      <c r="A38" s="857" t="s">
        <v>792</v>
      </c>
      <c r="B38" s="858"/>
      <c r="C38" s="859">
        <f>D4</f>
        <v>0</v>
      </c>
      <c r="D38" s="860">
        <f>C38*B38</f>
        <v>0</v>
      </c>
    </row>
    <row r="39" spans="1:6" ht="12" thickBot="1">
      <c r="A39" s="850" t="s">
        <v>783</v>
      </c>
      <c r="B39" s="17"/>
      <c r="C39" s="17"/>
      <c r="D39" s="851">
        <f>D38</f>
        <v>0</v>
      </c>
    </row>
  </sheetData>
  <mergeCells count="8">
    <mergeCell ref="A6:C6"/>
    <mergeCell ref="A8:C8"/>
    <mergeCell ref="A7:C7"/>
    <mergeCell ref="A1:D1"/>
    <mergeCell ref="A2:C2"/>
    <mergeCell ref="A3:C3"/>
    <mergeCell ref="A4:C4"/>
    <mergeCell ref="A5:C5"/>
  </mergeCells>
  <dataValidations count="1">
    <dataValidation type="list" allowBlank="1" showInputMessage="1" showErrorMessage="1" sqref="D5:D8">
      <formula1>$I$8:$I$10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38"/>
  <sheetViews>
    <sheetView workbookViewId="0">
      <selection activeCell="A37" sqref="A37"/>
    </sheetView>
  </sheetViews>
  <sheetFormatPr defaultRowHeight="11.25"/>
  <cols>
    <col min="1" max="1" width="52.5" customWidth="1"/>
    <col min="2" max="2" width="14.6640625" customWidth="1"/>
    <col min="3" max="3" width="17.83203125" customWidth="1"/>
    <col min="4" max="4" width="13.33203125" customWidth="1"/>
    <col min="9" max="9" width="0" hidden="1" customWidth="1"/>
  </cols>
  <sheetData>
    <row r="1" spans="1:9" ht="27" thickBot="1">
      <c r="A1" s="869" t="s">
        <v>793</v>
      </c>
      <c r="B1" s="870"/>
      <c r="C1" s="870"/>
      <c r="D1" s="870"/>
      <c r="E1" s="829"/>
      <c r="F1" s="87"/>
    </row>
    <row r="2" spans="1:9">
      <c r="A2" s="926" t="s">
        <v>10</v>
      </c>
      <c r="B2" s="927"/>
      <c r="C2" s="927"/>
      <c r="D2" s="831"/>
    </row>
    <row r="3" spans="1:9">
      <c r="A3" s="924" t="s">
        <v>1</v>
      </c>
      <c r="B3" s="925"/>
      <c r="C3" s="925"/>
      <c r="D3" s="832"/>
    </row>
    <row r="4" spans="1:9">
      <c r="A4" s="924" t="s">
        <v>2</v>
      </c>
      <c r="B4" s="925"/>
      <c r="C4" s="925"/>
      <c r="D4" s="833"/>
    </row>
    <row r="5" spans="1:9">
      <c r="A5" s="924" t="s">
        <v>776</v>
      </c>
      <c r="B5" s="925"/>
      <c r="C5" s="925"/>
      <c r="D5" s="833"/>
    </row>
    <row r="6" spans="1:9">
      <c r="A6" s="919" t="s">
        <v>648</v>
      </c>
      <c r="B6" s="920"/>
      <c r="C6" s="921"/>
      <c r="D6" s="833"/>
      <c r="I6" s="830" t="s">
        <v>787</v>
      </c>
    </row>
    <row r="7" spans="1:9">
      <c r="A7" s="924" t="s">
        <v>170</v>
      </c>
      <c r="B7" s="925"/>
      <c r="C7" s="925"/>
      <c r="D7" s="856"/>
      <c r="I7" s="830" t="s">
        <v>788</v>
      </c>
    </row>
    <row r="8" spans="1:9" ht="12" thickBot="1">
      <c r="A8" s="922" t="s">
        <v>651</v>
      </c>
      <c r="B8" s="923"/>
      <c r="C8" s="923"/>
      <c r="D8" s="834"/>
      <c r="I8" s="830"/>
    </row>
    <row r="9" spans="1:9">
      <c r="A9" s="21"/>
      <c r="B9" s="22"/>
      <c r="C9" s="17"/>
      <c r="D9" s="17"/>
      <c r="E9" s="17"/>
      <c r="F9" s="87"/>
      <c r="I9" s="830" t="s">
        <v>789</v>
      </c>
    </row>
    <row r="10" spans="1:9" ht="12" thickBot="1">
      <c r="A10" s="23" t="s">
        <v>11</v>
      </c>
      <c r="B10" s="24"/>
      <c r="C10" s="24"/>
      <c r="D10" s="24"/>
      <c r="E10" s="17"/>
      <c r="F10" s="87"/>
      <c r="I10" s="830" t="s">
        <v>790</v>
      </c>
    </row>
    <row r="11" spans="1:9">
      <c r="A11" s="25"/>
      <c r="B11" s="27" t="s">
        <v>4</v>
      </c>
      <c r="C11" s="27" t="s">
        <v>13</v>
      </c>
      <c r="D11" s="835" t="s">
        <v>8</v>
      </c>
      <c r="F11" s="87"/>
    </row>
    <row r="12" spans="1:9">
      <c r="A12" s="836" t="s">
        <v>104</v>
      </c>
      <c r="B12" s="837"/>
      <c r="C12" s="152">
        <f>4*D4</f>
        <v>0</v>
      </c>
      <c r="D12" s="31">
        <f>C12*B12</f>
        <v>0</v>
      </c>
      <c r="F12" s="87"/>
    </row>
    <row r="13" spans="1:9">
      <c r="A13" s="846" t="s">
        <v>791</v>
      </c>
      <c r="B13" s="837"/>
      <c r="C13" s="152">
        <f>D4</f>
        <v>0</v>
      </c>
      <c r="D13" s="31">
        <f t="shared" ref="D13:D28" si="0">C13*B13</f>
        <v>0</v>
      </c>
      <c r="F13" s="87"/>
    </row>
    <row r="14" spans="1:9">
      <c r="A14" s="836" t="s">
        <v>777</v>
      </c>
      <c r="B14" s="837"/>
      <c r="C14" s="152">
        <f>IF(D2&gt;0,(D2-0.016)*D4,0)</f>
        <v>0</v>
      </c>
      <c r="D14" s="31">
        <f t="shared" si="0"/>
        <v>0</v>
      </c>
      <c r="F14" s="853"/>
    </row>
    <row r="15" spans="1:9">
      <c r="A15" s="836" t="s">
        <v>778</v>
      </c>
      <c r="B15" s="837"/>
      <c r="C15" s="841">
        <f>IF(D2&gt;0,(D2-0.02)*D4,0)</f>
        <v>0</v>
      </c>
      <c r="D15" s="31">
        <f t="shared" si="0"/>
        <v>0</v>
      </c>
      <c r="F15" s="87"/>
    </row>
    <row r="16" spans="1:9">
      <c r="A16" s="838" t="s">
        <v>15</v>
      </c>
      <c r="B16" s="839"/>
      <c r="C16" s="152">
        <f>D4*2</f>
        <v>0</v>
      </c>
      <c r="D16" s="31">
        <f t="shared" si="0"/>
        <v>0</v>
      </c>
      <c r="F16" s="87"/>
    </row>
    <row r="17" spans="1:6">
      <c r="A17" s="836" t="s">
        <v>794</v>
      </c>
      <c r="B17" s="837"/>
      <c r="C17" s="841">
        <f>IF(D3&gt;0,(D3-0.035)*2*D4,0)</f>
        <v>0</v>
      </c>
      <c r="D17" s="31">
        <f t="shared" si="0"/>
        <v>0</v>
      </c>
      <c r="F17" s="87"/>
    </row>
    <row r="18" spans="1:6">
      <c r="A18" s="836" t="s">
        <v>780</v>
      </c>
      <c r="B18" s="837"/>
      <c r="C18" s="841">
        <f>IF(D2&gt;0,(D2-0.022)*D4,0)</f>
        <v>0</v>
      </c>
      <c r="D18" s="31">
        <f t="shared" si="0"/>
        <v>0</v>
      </c>
      <c r="F18" s="87"/>
    </row>
    <row r="19" spans="1:6">
      <c r="A19" s="836" t="s">
        <v>18</v>
      </c>
      <c r="B19" s="837"/>
      <c r="C19" s="841">
        <f>IF(D3&gt;0,(D3-0.035)*2*D4,0)</f>
        <v>0</v>
      </c>
      <c r="D19" s="31">
        <f t="shared" si="0"/>
        <v>0</v>
      </c>
      <c r="F19" s="87"/>
    </row>
    <row r="20" spans="1:6">
      <c r="A20" s="836" t="s">
        <v>19</v>
      </c>
      <c r="B20" s="842"/>
      <c r="C20" s="841">
        <f>IF(D2&gt;0,(D2-0.016)*D4,0)</f>
        <v>0</v>
      </c>
      <c r="D20" s="31">
        <f t="shared" si="0"/>
        <v>0</v>
      </c>
      <c r="F20" s="87"/>
    </row>
    <row r="21" spans="1:6">
      <c r="A21" s="836" t="s">
        <v>20</v>
      </c>
      <c r="B21" s="842"/>
      <c r="C21" s="841">
        <f>IF(D2&gt;0,(D2-0.022)*D4,0)</f>
        <v>0</v>
      </c>
      <c r="D21" s="31">
        <f t="shared" si="0"/>
        <v>0</v>
      </c>
      <c r="F21" s="87"/>
    </row>
    <row r="22" spans="1:6">
      <c r="A22" s="836" t="s">
        <v>795</v>
      </c>
      <c r="B22" s="843"/>
      <c r="C22" s="844">
        <f>D4</f>
        <v>0</v>
      </c>
      <c r="D22" s="845">
        <f t="shared" si="0"/>
        <v>0</v>
      </c>
      <c r="F22" s="87"/>
    </row>
    <row r="23" spans="1:6">
      <c r="A23" s="836" t="s">
        <v>796</v>
      </c>
      <c r="B23" s="843"/>
      <c r="C23" s="844">
        <f>D4</f>
        <v>0</v>
      </c>
      <c r="D23" s="845">
        <f t="shared" si="0"/>
        <v>0</v>
      </c>
      <c r="F23" s="87"/>
    </row>
    <row r="24" spans="1:6">
      <c r="A24" s="836" t="s">
        <v>797</v>
      </c>
      <c r="B24" s="843"/>
      <c r="C24" s="861">
        <f>IF(D2&gt;0,(D2-0.02)*D4,0)</f>
        <v>0</v>
      </c>
      <c r="D24" s="845">
        <f t="shared" si="0"/>
        <v>0</v>
      </c>
      <c r="F24" s="87"/>
    </row>
    <row r="25" spans="1:6">
      <c r="A25" s="836" t="s">
        <v>646</v>
      </c>
      <c r="B25" s="843"/>
      <c r="C25" s="861">
        <f>D4</f>
        <v>0</v>
      </c>
      <c r="D25" s="845">
        <f t="shared" si="0"/>
        <v>0</v>
      </c>
      <c r="F25" s="87"/>
    </row>
    <row r="26" spans="1:6">
      <c r="A26" s="836" t="s">
        <v>650</v>
      </c>
      <c r="B26" s="843"/>
      <c r="C26" s="861">
        <f>D8</f>
        <v>0</v>
      </c>
      <c r="D26" s="845">
        <f t="shared" si="0"/>
        <v>0</v>
      </c>
      <c r="F26" s="87"/>
    </row>
    <row r="27" spans="1:6">
      <c r="A27" s="836" t="s">
        <v>649</v>
      </c>
      <c r="B27" s="843"/>
      <c r="C27" s="861">
        <f>D7</f>
        <v>0</v>
      </c>
      <c r="D27" s="845">
        <f t="shared" si="0"/>
        <v>0</v>
      </c>
      <c r="F27" s="87"/>
    </row>
    <row r="28" spans="1:6" ht="12" thickBot="1">
      <c r="A28" s="848" t="s">
        <v>647</v>
      </c>
      <c r="B28" s="849"/>
      <c r="C28" s="852">
        <f>D6</f>
        <v>0</v>
      </c>
      <c r="D28" s="40">
        <f t="shared" si="0"/>
        <v>0</v>
      </c>
      <c r="F28" s="87"/>
    </row>
    <row r="29" spans="1:6" ht="12" thickBot="1">
      <c r="A29" s="850" t="s">
        <v>783</v>
      </c>
      <c r="B29" s="17"/>
      <c r="C29" s="17"/>
      <c r="D29" s="854"/>
      <c r="E29" s="17"/>
      <c r="F29" s="87"/>
    </row>
    <row r="30" spans="1:6" ht="12" thickBot="1">
      <c r="A30" s="21"/>
      <c r="B30" s="17"/>
      <c r="C30" s="17"/>
      <c r="D30" s="17"/>
      <c r="E30" s="17"/>
      <c r="F30" s="87"/>
    </row>
    <row r="31" spans="1:6">
      <c r="A31" s="42" t="s">
        <v>35</v>
      </c>
      <c r="B31" s="26"/>
      <c r="C31" s="26"/>
      <c r="D31" s="122"/>
      <c r="F31" s="87"/>
    </row>
    <row r="32" spans="1:6" ht="12" thickBot="1">
      <c r="A32" s="848" t="s">
        <v>25</v>
      </c>
      <c r="B32" s="849"/>
      <c r="C32" s="852">
        <f>IF(AND(D2&gt;0,D6="Нет"),((D2-0.02)+0.1)*D4,0)</f>
        <v>0</v>
      </c>
      <c r="D32" s="40">
        <f t="shared" ref="D32" si="1">C32*B32</f>
        <v>0</v>
      </c>
      <c r="F32" s="87"/>
    </row>
    <row r="33" spans="1:6" ht="12" thickBot="1">
      <c r="A33" s="850" t="s">
        <v>783</v>
      </c>
      <c r="B33" s="17"/>
      <c r="C33" s="17"/>
      <c r="D33" s="851"/>
      <c r="E33" s="17"/>
      <c r="F33" s="87"/>
    </row>
    <row r="34" spans="1:6">
      <c r="A34" s="46"/>
      <c r="B34" s="17"/>
      <c r="C34" s="17"/>
      <c r="D34" s="17"/>
      <c r="E34" s="17"/>
      <c r="F34" s="87"/>
    </row>
    <row r="35" spans="1:6">
      <c r="A35" s="23" t="s">
        <v>786</v>
      </c>
      <c r="B35" s="17"/>
      <c r="C35" s="17"/>
      <c r="D35" s="17"/>
      <c r="E35" s="17"/>
      <c r="F35" s="87"/>
    </row>
    <row r="36" spans="1:6" ht="12" thickBot="1">
      <c r="A36" s="23"/>
      <c r="B36" s="17"/>
      <c r="C36" s="17"/>
      <c r="D36" s="17"/>
      <c r="E36" s="17"/>
      <c r="F36" s="87"/>
    </row>
    <row r="37" spans="1:6" ht="12" thickBot="1">
      <c r="A37" s="857" t="s">
        <v>792</v>
      </c>
      <c r="B37" s="858"/>
      <c r="C37" s="859">
        <f>IF(D8="Да",D4,0)</f>
        <v>0</v>
      </c>
      <c r="D37" s="860">
        <f>C37*B37</f>
        <v>0</v>
      </c>
      <c r="E37" s="87"/>
    </row>
    <row r="38" spans="1:6" ht="12" thickBot="1">
      <c r="A38" s="850" t="s">
        <v>783</v>
      </c>
      <c r="B38" s="17"/>
      <c r="C38" s="17"/>
      <c r="D38" s="854"/>
    </row>
  </sheetData>
  <mergeCells count="8">
    <mergeCell ref="A7:C7"/>
    <mergeCell ref="A8:C8"/>
    <mergeCell ref="A1:D1"/>
    <mergeCell ref="A2:C2"/>
    <mergeCell ref="A3:C3"/>
    <mergeCell ref="A4:C4"/>
    <mergeCell ref="A5:C5"/>
    <mergeCell ref="A6:C6"/>
  </mergeCells>
  <dataValidations count="1">
    <dataValidation type="list" allowBlank="1" showInputMessage="1" showErrorMessage="1" sqref="D5:D8">
      <formula1>$I$8:$I$10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I37"/>
  <sheetViews>
    <sheetView workbookViewId="0">
      <selection activeCell="A13" sqref="A13"/>
    </sheetView>
  </sheetViews>
  <sheetFormatPr defaultRowHeight="11.25"/>
  <cols>
    <col min="1" max="1" width="52.5" customWidth="1"/>
    <col min="2" max="2" width="16.1640625" customWidth="1"/>
    <col min="3" max="3" width="14.1640625" customWidth="1"/>
    <col min="4" max="4" width="13.1640625" customWidth="1"/>
    <col min="9" max="9" width="0" hidden="1" customWidth="1"/>
  </cols>
  <sheetData>
    <row r="1" spans="1:9" ht="27" thickBot="1">
      <c r="A1" s="869" t="s">
        <v>798</v>
      </c>
      <c r="B1" s="870"/>
      <c r="C1" s="870"/>
      <c r="D1" s="870"/>
      <c r="E1" s="829"/>
      <c r="F1" s="87"/>
    </row>
    <row r="2" spans="1:9">
      <c r="A2" s="926" t="s">
        <v>10</v>
      </c>
      <c r="B2" s="927"/>
      <c r="C2" s="927"/>
      <c r="D2" s="831"/>
    </row>
    <row r="3" spans="1:9">
      <c r="A3" s="924" t="s">
        <v>1</v>
      </c>
      <c r="B3" s="925"/>
      <c r="C3" s="925"/>
      <c r="D3" s="832"/>
    </row>
    <row r="4" spans="1:9">
      <c r="A4" s="924" t="s">
        <v>2</v>
      </c>
      <c r="B4" s="925"/>
      <c r="C4" s="925"/>
      <c r="D4" s="833"/>
    </row>
    <row r="5" spans="1:9">
      <c r="A5" s="924" t="s">
        <v>776</v>
      </c>
      <c r="B5" s="925"/>
      <c r="C5" s="925"/>
      <c r="D5" s="833"/>
      <c r="I5" s="830" t="s">
        <v>787</v>
      </c>
    </row>
    <row r="6" spans="1:9">
      <c r="A6" s="919" t="s">
        <v>648</v>
      </c>
      <c r="B6" s="920"/>
      <c r="C6" s="921"/>
      <c r="D6" s="833"/>
      <c r="I6" s="830" t="s">
        <v>788</v>
      </c>
    </row>
    <row r="7" spans="1:9">
      <c r="A7" s="924" t="s">
        <v>170</v>
      </c>
      <c r="B7" s="925"/>
      <c r="C7" s="925"/>
      <c r="D7" s="856"/>
      <c r="I7" s="830"/>
    </row>
    <row r="8" spans="1:9" ht="12" thickBot="1">
      <c r="A8" s="922" t="s">
        <v>651</v>
      </c>
      <c r="B8" s="923"/>
      <c r="C8" s="923"/>
      <c r="D8" s="834"/>
      <c r="E8" s="17"/>
      <c r="F8" s="87"/>
      <c r="I8" s="830" t="s">
        <v>789</v>
      </c>
    </row>
    <row r="9" spans="1:9">
      <c r="A9" s="862"/>
      <c r="B9" s="863"/>
      <c r="C9" s="863"/>
      <c r="D9" s="864"/>
      <c r="E9" s="17"/>
      <c r="F9" s="87"/>
      <c r="I9" s="830"/>
    </row>
    <row r="10" spans="1:9" ht="12" thickBot="1">
      <c r="A10" s="23" t="s">
        <v>11</v>
      </c>
      <c r="B10" s="24"/>
      <c r="C10" s="24"/>
      <c r="D10" s="24"/>
      <c r="E10" s="17"/>
      <c r="F10" s="87"/>
      <c r="I10" s="830" t="s">
        <v>790</v>
      </c>
    </row>
    <row r="11" spans="1:9">
      <c r="A11" s="25"/>
      <c r="B11" s="27" t="s">
        <v>4</v>
      </c>
      <c r="C11" s="27" t="s">
        <v>13</v>
      </c>
      <c r="D11" s="835" t="s">
        <v>8</v>
      </c>
      <c r="F11" s="87"/>
    </row>
    <row r="12" spans="1:9">
      <c r="A12" s="836" t="s">
        <v>104</v>
      </c>
      <c r="B12" s="837"/>
      <c r="C12" s="152">
        <f>4*D4</f>
        <v>0</v>
      </c>
      <c r="D12" s="31">
        <f>C12*B12</f>
        <v>0</v>
      </c>
      <c r="F12" s="87"/>
    </row>
    <row r="13" spans="1:9">
      <c r="A13" s="846" t="s">
        <v>791</v>
      </c>
      <c r="B13" s="837"/>
      <c r="C13" s="152">
        <f>D4</f>
        <v>0</v>
      </c>
      <c r="D13" s="31">
        <f t="shared" ref="D13:D25" si="0">C13*B13</f>
        <v>0</v>
      </c>
      <c r="F13" s="87"/>
    </row>
    <row r="14" spans="1:9">
      <c r="A14" s="836" t="s">
        <v>777</v>
      </c>
      <c r="B14" s="837"/>
      <c r="C14" s="152">
        <f>IF(D2&gt;0,(D2-0.016)*D4,0)</f>
        <v>0</v>
      </c>
      <c r="D14" s="31">
        <f t="shared" si="0"/>
        <v>0</v>
      </c>
      <c r="F14" s="853"/>
    </row>
    <row r="15" spans="1:9">
      <c r="A15" s="836" t="s">
        <v>778</v>
      </c>
      <c r="B15" s="837"/>
      <c r="C15" s="841">
        <f>IF(D2&gt;0,(D2-0.02)*D4,0)</f>
        <v>0</v>
      </c>
      <c r="D15" s="31">
        <f t="shared" si="0"/>
        <v>0</v>
      </c>
      <c r="F15" s="87"/>
    </row>
    <row r="16" spans="1:9">
      <c r="A16" s="836" t="s">
        <v>779</v>
      </c>
      <c r="B16" s="837"/>
      <c r="C16" s="152">
        <f>IF(D3&gt;0,(D3-0.035)*2*D4,0)</f>
        <v>0</v>
      </c>
      <c r="D16" s="31">
        <f t="shared" si="0"/>
        <v>0</v>
      </c>
      <c r="F16" s="87"/>
    </row>
    <row r="17" spans="1:6">
      <c r="A17" s="836" t="s">
        <v>799</v>
      </c>
      <c r="B17" s="837"/>
      <c r="C17" s="152">
        <f>IF(D2&gt;0,(D2-0.022)*D4,0)</f>
        <v>0</v>
      </c>
      <c r="D17" s="31">
        <f t="shared" si="0"/>
        <v>0</v>
      </c>
      <c r="F17" s="87"/>
    </row>
    <row r="18" spans="1:6">
      <c r="A18" s="836" t="s">
        <v>18</v>
      </c>
      <c r="B18" s="837"/>
      <c r="C18" s="152">
        <f>IF(D3&gt;0,(D3-0.035)*2*D4,0)</f>
        <v>0</v>
      </c>
      <c r="D18" s="31">
        <f t="shared" si="0"/>
        <v>0</v>
      </c>
      <c r="F18" s="87"/>
    </row>
    <row r="19" spans="1:6">
      <c r="A19" s="836" t="s">
        <v>19</v>
      </c>
      <c r="B19" s="842"/>
      <c r="C19" s="152">
        <f>IF(D2&gt;0,(D2-0.016)*D4,0)</f>
        <v>0</v>
      </c>
      <c r="D19" s="31">
        <f t="shared" si="0"/>
        <v>0</v>
      </c>
      <c r="F19" s="87"/>
    </row>
    <row r="20" spans="1:6">
      <c r="A20" s="836" t="s">
        <v>20</v>
      </c>
      <c r="B20" s="842"/>
      <c r="C20" s="152">
        <f>IF(D2&gt;0,(D2-0.022)*D4,0)</f>
        <v>0</v>
      </c>
      <c r="D20" s="31">
        <f t="shared" si="0"/>
        <v>0</v>
      </c>
      <c r="F20" s="87"/>
    </row>
    <row r="21" spans="1:6">
      <c r="A21" s="847" t="s">
        <v>782</v>
      </c>
      <c r="B21" s="843"/>
      <c r="C21" s="844">
        <f>D4</f>
        <v>0</v>
      </c>
      <c r="D21" s="845">
        <f t="shared" si="0"/>
        <v>0</v>
      </c>
      <c r="F21" s="87"/>
    </row>
    <row r="22" spans="1:6">
      <c r="A22" s="836" t="s">
        <v>646</v>
      </c>
      <c r="B22" s="843"/>
      <c r="C22" s="844">
        <f>D4</f>
        <v>0</v>
      </c>
      <c r="D22" s="845">
        <f t="shared" si="0"/>
        <v>0</v>
      </c>
      <c r="F22" s="87"/>
    </row>
    <row r="23" spans="1:6">
      <c r="A23" s="836" t="s">
        <v>650</v>
      </c>
      <c r="B23" s="843"/>
      <c r="C23" s="844">
        <f>D8</f>
        <v>0</v>
      </c>
      <c r="D23" s="845">
        <f t="shared" si="0"/>
        <v>0</v>
      </c>
      <c r="F23" s="87"/>
    </row>
    <row r="24" spans="1:6">
      <c r="A24" s="836" t="s">
        <v>649</v>
      </c>
      <c r="B24" s="843"/>
      <c r="C24" s="844">
        <f>D7</f>
        <v>0</v>
      </c>
      <c r="D24" s="845">
        <f t="shared" si="0"/>
        <v>0</v>
      </c>
      <c r="F24" s="87"/>
    </row>
    <row r="25" spans="1:6" ht="12" thickBot="1">
      <c r="A25" s="848" t="s">
        <v>647</v>
      </c>
      <c r="B25" s="849"/>
      <c r="C25" s="39">
        <f>D6</f>
        <v>0</v>
      </c>
      <c r="D25" s="40">
        <f t="shared" si="0"/>
        <v>0</v>
      </c>
      <c r="F25" s="87"/>
    </row>
    <row r="26" spans="1:6" ht="12" thickBot="1">
      <c r="A26" s="850" t="s">
        <v>783</v>
      </c>
      <c r="B26" s="17"/>
      <c r="C26" s="17"/>
      <c r="D26" s="851"/>
      <c r="E26" s="17"/>
      <c r="F26" s="87"/>
    </row>
    <row r="27" spans="1:6" ht="12" thickBot="1">
      <c r="A27" s="21"/>
      <c r="B27" s="17"/>
      <c r="C27" s="17"/>
      <c r="D27" s="17"/>
      <c r="E27" s="17"/>
      <c r="F27" s="87"/>
    </row>
    <row r="28" spans="1:6">
      <c r="A28" s="42" t="s">
        <v>35</v>
      </c>
      <c r="B28" s="26"/>
      <c r="C28" s="26"/>
      <c r="D28" s="122"/>
      <c r="F28" s="87"/>
    </row>
    <row r="29" spans="1:6">
      <c r="A29" s="836" t="s">
        <v>784</v>
      </c>
      <c r="B29" s="837"/>
      <c r="C29" s="152">
        <f>IF(D5="Нет",D4,0)</f>
        <v>0</v>
      </c>
      <c r="D29" s="31">
        <f t="shared" ref="D29:D31" si="1">C29*B29</f>
        <v>0</v>
      </c>
      <c r="F29" s="87"/>
    </row>
    <row r="30" spans="1:6">
      <c r="A30" s="836" t="s">
        <v>785</v>
      </c>
      <c r="B30" s="837"/>
      <c r="C30" s="841">
        <f>IF(AND(D5="Нет",D2&gt;0),D4*(D2-0.02),0)</f>
        <v>0</v>
      </c>
      <c r="D30" s="31">
        <f t="shared" si="1"/>
        <v>0</v>
      </c>
      <c r="F30" s="87"/>
    </row>
    <row r="31" spans="1:6" ht="12" thickBot="1">
      <c r="A31" s="848" t="s">
        <v>25</v>
      </c>
      <c r="B31" s="849"/>
      <c r="C31" s="852">
        <f>IF(AND(D2&gt;0,D5="Нет"),((D2-0.02)+0.1)*D4,0)</f>
        <v>0</v>
      </c>
      <c r="D31" s="40">
        <f t="shared" si="1"/>
        <v>0</v>
      </c>
      <c r="F31" s="87"/>
    </row>
    <row r="32" spans="1:6" ht="12" thickBot="1">
      <c r="A32" s="850" t="s">
        <v>783</v>
      </c>
      <c r="B32" s="17"/>
      <c r="C32" s="17"/>
      <c r="D32" s="851"/>
      <c r="E32" s="17"/>
      <c r="F32" s="87"/>
    </row>
    <row r="33" spans="1:6">
      <c r="A33" s="46"/>
      <c r="B33" s="17"/>
      <c r="C33" s="17"/>
      <c r="D33" s="17"/>
      <c r="E33" s="17"/>
      <c r="F33" s="87"/>
    </row>
    <row r="34" spans="1:6">
      <c r="A34" s="23" t="s">
        <v>786</v>
      </c>
      <c r="B34" s="17"/>
      <c r="C34" s="17"/>
      <c r="D34" s="17"/>
      <c r="E34" s="17"/>
      <c r="F34" s="87"/>
    </row>
    <row r="35" spans="1:6" ht="12" thickBot="1">
      <c r="A35" s="23"/>
      <c r="B35" s="17"/>
      <c r="C35" s="17"/>
      <c r="D35" s="17"/>
      <c r="E35" s="17"/>
      <c r="F35" s="87"/>
    </row>
    <row r="36" spans="1:6" ht="12" thickBot="1">
      <c r="A36" s="857" t="s">
        <v>792</v>
      </c>
      <c r="B36" s="858"/>
      <c r="C36" s="859">
        <f>D4</f>
        <v>0</v>
      </c>
      <c r="D36" s="860">
        <f>C36*B36</f>
        <v>0</v>
      </c>
    </row>
    <row r="37" spans="1:6" ht="12" thickBot="1">
      <c r="A37" s="850" t="s">
        <v>783</v>
      </c>
      <c r="B37" s="17"/>
      <c r="C37" s="17"/>
      <c r="D37" s="851"/>
    </row>
  </sheetData>
  <mergeCells count="8">
    <mergeCell ref="A6:C6"/>
    <mergeCell ref="A7:C7"/>
    <mergeCell ref="A8:C8"/>
    <mergeCell ref="A1:D1"/>
    <mergeCell ref="A2:C2"/>
    <mergeCell ref="A3:C3"/>
    <mergeCell ref="A4:C4"/>
    <mergeCell ref="A5:C5"/>
  </mergeCells>
  <dataValidations count="2">
    <dataValidation type="list" allowBlank="1" showInputMessage="1" showErrorMessage="1" sqref="D5">
      <formula1>$I$7:$I$10</formula1>
    </dataValidation>
    <dataValidation type="list" allowBlank="1" showInputMessage="1" showErrorMessage="1" sqref="D6:D9">
      <formula1>$I$8:$I$11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37"/>
  <sheetViews>
    <sheetView workbookViewId="0">
      <selection activeCell="J13" sqref="J13"/>
    </sheetView>
  </sheetViews>
  <sheetFormatPr defaultRowHeight="11.25"/>
  <cols>
    <col min="1" max="1" width="51.6640625" customWidth="1"/>
    <col min="2" max="2" width="15.83203125" customWidth="1"/>
    <col min="3" max="3" width="16.1640625" customWidth="1"/>
    <col min="4" max="4" width="16" customWidth="1"/>
    <col min="9" max="9" width="0" hidden="1" customWidth="1"/>
  </cols>
  <sheetData>
    <row r="1" spans="1:9" ht="27" thickBot="1">
      <c r="A1" s="869" t="s">
        <v>800</v>
      </c>
      <c r="B1" s="870"/>
      <c r="C1" s="870"/>
      <c r="D1" s="870"/>
      <c r="E1" s="829"/>
      <c r="F1" s="87"/>
    </row>
    <row r="2" spans="1:9">
      <c r="A2" s="926" t="s">
        <v>10</v>
      </c>
      <c r="B2" s="927"/>
      <c r="C2" s="927"/>
      <c r="D2" s="831"/>
    </row>
    <row r="3" spans="1:9">
      <c r="A3" s="924" t="s">
        <v>1</v>
      </c>
      <c r="B3" s="925"/>
      <c r="C3" s="925"/>
      <c r="D3" s="832"/>
    </row>
    <row r="4" spans="1:9">
      <c r="A4" s="924" t="s">
        <v>2</v>
      </c>
      <c r="B4" s="925"/>
      <c r="C4" s="925"/>
      <c r="D4" s="833"/>
    </row>
    <row r="5" spans="1:9">
      <c r="A5" s="924" t="s">
        <v>776</v>
      </c>
      <c r="B5" s="925"/>
      <c r="C5" s="925"/>
      <c r="D5" s="833"/>
      <c r="I5" s="830" t="s">
        <v>787</v>
      </c>
    </row>
    <row r="6" spans="1:9">
      <c r="A6" s="919" t="s">
        <v>648</v>
      </c>
      <c r="B6" s="920"/>
      <c r="C6" s="921"/>
      <c r="D6" s="833"/>
      <c r="I6" s="830" t="s">
        <v>788</v>
      </c>
    </row>
    <row r="7" spans="1:9">
      <c r="A7" s="924" t="s">
        <v>170</v>
      </c>
      <c r="B7" s="925"/>
      <c r="C7" s="925"/>
      <c r="D7" s="856"/>
      <c r="I7" s="830"/>
    </row>
    <row r="8" spans="1:9" ht="12" thickBot="1">
      <c r="A8" s="922" t="s">
        <v>651</v>
      </c>
      <c r="B8" s="923"/>
      <c r="C8" s="923"/>
      <c r="D8" s="834"/>
      <c r="E8" s="17"/>
      <c r="F8" s="87"/>
      <c r="I8" s="830" t="s">
        <v>789</v>
      </c>
    </row>
    <row r="9" spans="1:9">
      <c r="A9" s="862"/>
      <c r="B9" s="863"/>
      <c r="C9" s="863"/>
      <c r="D9" s="864"/>
      <c r="E9" s="17"/>
      <c r="F9" s="87"/>
      <c r="I9" s="830"/>
    </row>
    <row r="10" spans="1:9" ht="12" thickBot="1">
      <c r="A10" s="23" t="s">
        <v>11</v>
      </c>
      <c r="B10" s="24"/>
      <c r="C10" s="24"/>
      <c r="D10" s="24"/>
      <c r="E10" s="17"/>
      <c r="F10" s="87"/>
      <c r="I10" s="830" t="s">
        <v>790</v>
      </c>
    </row>
    <row r="11" spans="1:9">
      <c r="A11" s="25"/>
      <c r="B11" s="27" t="s">
        <v>4</v>
      </c>
      <c r="C11" s="27" t="s">
        <v>13</v>
      </c>
      <c r="D11" s="835" t="s">
        <v>8</v>
      </c>
      <c r="F11" s="87"/>
    </row>
    <row r="12" spans="1:9" ht="12" customHeight="1">
      <c r="A12" s="836" t="s">
        <v>104</v>
      </c>
      <c r="B12" s="837"/>
      <c r="C12" s="152">
        <f>4*D4</f>
        <v>0</v>
      </c>
      <c r="D12" s="31">
        <f>C12*B12</f>
        <v>0</v>
      </c>
      <c r="F12" s="87"/>
    </row>
    <row r="13" spans="1:9">
      <c r="A13" s="846" t="s">
        <v>791</v>
      </c>
      <c r="B13" s="837"/>
      <c r="C13" s="152">
        <f>D4</f>
        <v>0</v>
      </c>
      <c r="D13" s="31">
        <f t="shared" ref="D13:D27" si="0">C13*B13</f>
        <v>0</v>
      </c>
      <c r="F13" s="87"/>
    </row>
    <row r="14" spans="1:9">
      <c r="A14" s="836" t="s">
        <v>777</v>
      </c>
      <c r="B14" s="837"/>
      <c r="C14" s="152">
        <f>IF(D2&gt;0,(D2-0.016)*D4,0)</f>
        <v>0</v>
      </c>
      <c r="D14" s="31">
        <f t="shared" si="0"/>
        <v>0</v>
      </c>
      <c r="F14" s="853"/>
    </row>
    <row r="15" spans="1:9">
      <c r="A15" s="836" t="s">
        <v>778</v>
      </c>
      <c r="B15" s="837"/>
      <c r="C15" s="841">
        <f>IF(D2&gt;0,(D2-0.02)*D4,0)</f>
        <v>0</v>
      </c>
      <c r="D15" s="31">
        <f t="shared" si="0"/>
        <v>0</v>
      </c>
      <c r="F15" s="87"/>
    </row>
    <row r="16" spans="1:9">
      <c r="A16" s="836" t="s">
        <v>794</v>
      </c>
      <c r="B16" s="837"/>
      <c r="C16" s="841">
        <f>IF(D3&gt;0,(D3-0.035)*2*D4,0)</f>
        <v>0</v>
      </c>
      <c r="D16" s="31">
        <f t="shared" si="0"/>
        <v>0</v>
      </c>
      <c r="F16" s="87"/>
    </row>
    <row r="17" spans="1:6">
      <c r="A17" s="836" t="s">
        <v>799</v>
      </c>
      <c r="B17" s="837"/>
      <c r="C17" s="841">
        <f>IF(D2&gt;0,(D2-0.022)*D4,0)</f>
        <v>0</v>
      </c>
      <c r="D17" s="31">
        <f t="shared" si="0"/>
        <v>0</v>
      </c>
      <c r="F17" s="87"/>
    </row>
    <row r="18" spans="1:6">
      <c r="A18" s="836" t="s">
        <v>18</v>
      </c>
      <c r="B18" s="837"/>
      <c r="C18" s="841">
        <f>IF(D3&gt;0,(D3-0.035)*2*D4,0)</f>
        <v>0</v>
      </c>
      <c r="D18" s="31">
        <f t="shared" si="0"/>
        <v>0</v>
      </c>
      <c r="F18" s="87"/>
    </row>
    <row r="19" spans="1:6">
      <c r="A19" s="836" t="s">
        <v>19</v>
      </c>
      <c r="B19" s="842"/>
      <c r="C19" s="841">
        <f>IF(D2&gt;0,(D2-0.016)*D4,0)</f>
        <v>0</v>
      </c>
      <c r="D19" s="31">
        <f t="shared" si="0"/>
        <v>0</v>
      </c>
      <c r="F19" s="87"/>
    </row>
    <row r="20" spans="1:6">
      <c r="A20" s="836" t="s">
        <v>20</v>
      </c>
      <c r="B20" s="842"/>
      <c r="C20" s="841">
        <f>IF(D2&gt;0,(D2-0.022)*D4,0)</f>
        <v>0</v>
      </c>
      <c r="D20" s="31">
        <f t="shared" si="0"/>
        <v>0</v>
      </c>
      <c r="F20" s="87"/>
    </row>
    <row r="21" spans="1:6">
      <c r="A21" s="836" t="s">
        <v>795</v>
      </c>
      <c r="B21" s="843"/>
      <c r="C21" s="844">
        <f>D4</f>
        <v>0</v>
      </c>
      <c r="D21" s="845">
        <f t="shared" si="0"/>
        <v>0</v>
      </c>
      <c r="F21" s="87"/>
    </row>
    <row r="22" spans="1:6">
      <c r="A22" s="836" t="s">
        <v>796</v>
      </c>
      <c r="B22" s="843"/>
      <c r="C22" s="844">
        <f>D4</f>
        <v>0</v>
      </c>
      <c r="D22" s="845">
        <f t="shared" si="0"/>
        <v>0</v>
      </c>
      <c r="F22" s="87"/>
    </row>
    <row r="23" spans="1:6">
      <c r="A23" s="836" t="s">
        <v>646</v>
      </c>
      <c r="B23" s="843"/>
      <c r="C23" s="844">
        <f>D4</f>
        <v>0</v>
      </c>
      <c r="D23" s="845">
        <f t="shared" si="0"/>
        <v>0</v>
      </c>
      <c r="F23" s="87"/>
    </row>
    <row r="24" spans="1:6">
      <c r="A24" s="836" t="s">
        <v>650</v>
      </c>
      <c r="B24" s="843"/>
      <c r="C24" s="844">
        <f>D8</f>
        <v>0</v>
      </c>
      <c r="D24" s="845">
        <f t="shared" si="0"/>
        <v>0</v>
      </c>
      <c r="F24" s="87"/>
    </row>
    <row r="25" spans="1:6">
      <c r="A25" s="836" t="s">
        <v>649</v>
      </c>
      <c r="B25" s="843"/>
      <c r="C25" s="844">
        <f>D7</f>
        <v>0</v>
      </c>
      <c r="D25" s="845">
        <f t="shared" si="0"/>
        <v>0</v>
      </c>
      <c r="E25" s="17"/>
      <c r="F25" s="87"/>
    </row>
    <row r="26" spans="1:6">
      <c r="A26" s="836" t="s">
        <v>647</v>
      </c>
      <c r="B26" s="837"/>
      <c r="C26" s="152">
        <f>D6</f>
        <v>0</v>
      </c>
      <c r="D26" s="31">
        <f t="shared" si="0"/>
        <v>0</v>
      </c>
      <c r="E26" s="17"/>
      <c r="F26" s="87"/>
    </row>
    <row r="27" spans="1:6" ht="12" thickBot="1">
      <c r="A27" s="855" t="s">
        <v>797</v>
      </c>
      <c r="B27" s="865"/>
      <c r="C27" s="866">
        <f>IF(D2&gt;0,(D2-0.02)*D4,0)</f>
        <v>0</v>
      </c>
      <c r="D27" s="867">
        <f t="shared" si="0"/>
        <v>0</v>
      </c>
      <c r="E27" s="17"/>
      <c r="F27" s="87"/>
    </row>
    <row r="28" spans="1:6" ht="12" thickBot="1">
      <c r="A28" s="850" t="s">
        <v>783</v>
      </c>
      <c r="B28" s="17"/>
      <c r="C28" s="17"/>
      <c r="D28" s="854"/>
      <c r="E28" s="17"/>
      <c r="F28" s="87"/>
    </row>
    <row r="29" spans="1:6" ht="12" thickBot="1">
      <c r="A29" s="21"/>
      <c r="B29" s="17"/>
      <c r="C29" s="17"/>
      <c r="D29" s="17"/>
      <c r="E29" s="87"/>
    </row>
    <row r="30" spans="1:6">
      <c r="A30" s="42" t="s">
        <v>35</v>
      </c>
      <c r="B30" s="26"/>
      <c r="C30" s="26"/>
      <c r="D30" s="122"/>
    </row>
    <row r="31" spans="1:6" ht="12" thickBot="1">
      <c r="A31" s="848" t="s">
        <v>25</v>
      </c>
      <c r="B31" s="849"/>
      <c r="C31" s="852">
        <f>IF(AND(D2&gt;0,D5="Нет"),((D2-0.02)+0.1)*D4,0)</f>
        <v>0</v>
      </c>
      <c r="D31" s="40">
        <f t="shared" ref="D31" si="1">C31*B31</f>
        <v>0</v>
      </c>
    </row>
    <row r="32" spans="1:6" ht="12" thickBot="1">
      <c r="A32" s="850" t="s">
        <v>783</v>
      </c>
      <c r="B32" s="17"/>
      <c r="C32" s="17"/>
      <c r="D32" s="851"/>
    </row>
    <row r="33" spans="1:4">
      <c r="A33" s="46"/>
      <c r="B33" s="17"/>
      <c r="C33" s="17"/>
      <c r="D33" s="17"/>
    </row>
    <row r="34" spans="1:4">
      <c r="A34" s="23" t="s">
        <v>786</v>
      </c>
      <c r="B34" s="17"/>
      <c r="C34" s="17"/>
      <c r="D34" s="17"/>
    </row>
    <row r="35" spans="1:4" ht="12" thickBot="1">
      <c r="A35" s="23"/>
      <c r="B35" s="17"/>
      <c r="C35" s="17"/>
      <c r="D35" s="17"/>
    </row>
    <row r="36" spans="1:4" ht="12" thickBot="1">
      <c r="A36" s="857" t="s">
        <v>792</v>
      </c>
      <c r="B36" s="858"/>
      <c r="C36" s="859">
        <f>D4</f>
        <v>0</v>
      </c>
      <c r="D36" s="860">
        <f>C36*B36</f>
        <v>0</v>
      </c>
    </row>
    <row r="37" spans="1:4" ht="12" thickBot="1">
      <c r="A37" s="850" t="s">
        <v>783</v>
      </c>
      <c r="B37" s="17"/>
      <c r="C37" s="17"/>
      <c r="D37" s="851"/>
    </row>
  </sheetData>
  <mergeCells count="8">
    <mergeCell ref="A6:C6"/>
    <mergeCell ref="A7:C7"/>
    <mergeCell ref="A8:C8"/>
    <mergeCell ref="A1:D1"/>
    <mergeCell ref="A2:C2"/>
    <mergeCell ref="A3:C3"/>
    <mergeCell ref="A4:C4"/>
    <mergeCell ref="A5:C5"/>
  </mergeCells>
  <dataValidations count="2">
    <dataValidation type="list" allowBlank="1" showInputMessage="1" showErrorMessage="1" sqref="D5">
      <formula1>$I$7:$I$10</formula1>
    </dataValidation>
    <dataValidation type="list" allowBlank="1" showInputMessage="1" showErrorMessage="1" sqref="D6:D9">
      <formula1>$I$8:$I$12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UNI1</vt:lpstr>
      <vt:lpstr>UNI1-зебра</vt:lpstr>
      <vt:lpstr>UNI2</vt:lpstr>
      <vt:lpstr>UNI2-зебра</vt:lpstr>
      <vt:lpstr>MINI</vt:lpstr>
      <vt:lpstr>Ролла кассета 1</vt:lpstr>
      <vt:lpstr>Ролла кассета 2</vt:lpstr>
      <vt:lpstr>Ролла кассета 1 Зебра</vt:lpstr>
      <vt:lpstr>Ролла кассета 2 Зебра</vt:lpstr>
      <vt:lpstr>MINI-зебра из</vt:lpstr>
      <vt:lpstr>Holis, Волна</vt:lpstr>
      <vt:lpstr>1"</vt:lpstr>
      <vt:lpstr>Классика LVT</vt:lpstr>
      <vt:lpstr>Кассета LVT</vt:lpstr>
      <vt:lpstr>Зебра LVT</vt:lpstr>
      <vt:lpstr>Зебра кассета LVT</vt:lpstr>
      <vt:lpstr>День-Ночь 45мм</vt:lpstr>
      <vt:lpstr>Классика DoubleLVT</vt:lpstr>
      <vt:lpstr>Классика Mono LVT</vt:lpstr>
      <vt:lpstr>P190x</vt:lpstr>
      <vt:lpstr>P390x</vt:lpstr>
      <vt:lpstr>P890x</vt:lpstr>
      <vt:lpstr>P891x</vt:lpstr>
      <vt:lpstr>Карнизы шторные</vt:lpstr>
      <vt:lpstr>Карнизы шторные Glydea</vt:lpstr>
      <vt:lpstr>Римские шторы</vt:lpstr>
      <vt:lpstr>Классикa Benthin M </vt:lpstr>
      <vt:lpstr>Зебра Benthin M</vt:lpstr>
      <vt:lpstr>Зебра кассета Benthin М</vt:lpstr>
      <vt:lpstr>Кассета Benthin M </vt:lpstr>
      <vt:lpstr>Классика Benthin L</vt:lpstr>
      <vt:lpstr>Зебра Benthin L</vt:lpstr>
      <vt:lpstr>Кассета Вenthin L</vt:lpstr>
      <vt:lpstr>Классика Моно Benthin М</vt:lpstr>
      <vt:lpstr>Кассета Моно Benthin M</vt:lpstr>
      <vt:lpstr>Классика Моно Benthin L</vt:lpstr>
      <vt:lpstr>Кассета Моно Benthin L</vt:lpstr>
      <vt:lpstr>Моно Зебра Benthin M</vt:lpstr>
      <vt:lpstr>Кассета Моно Зебра Benthin M</vt:lpstr>
      <vt:lpstr>Моно Зебра Benthin L</vt:lpstr>
      <vt:lpstr>Классика Double Benthin L</vt:lpstr>
      <vt:lpstr>Зебра Double Benthin L</vt:lpstr>
      <vt:lpstr>Кассета Double Benthin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Суворов</dc:creator>
  <cp:lastModifiedBy>Сергей Голубев</cp:lastModifiedBy>
  <cp:lastPrinted>2013-03-22T05:23:42Z</cp:lastPrinted>
  <dcterms:created xsi:type="dcterms:W3CDTF">2005-05-23T08:47:17Z</dcterms:created>
  <dcterms:modified xsi:type="dcterms:W3CDTF">2023-02-10T09:22:47Z</dcterms:modified>
</cp:coreProperties>
</file>